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kusa\エヌエス環境 Dropbox\01000_03_本社_技術部\技術部\3.受注業務対応\環境計画24-05 神奈川県_R6神奈川県脱炭素補助金\04.作業用\1.準備（様式改訂、作成例、手引き）\省エネ設備\排出量削減効果算定シート\【県実装】排出量削減効果算定シート（以降改修含む）\"/>
    </mc:Choice>
  </mc:AlternateContent>
  <bookViews>
    <workbookView xWindow="0" yWindow="0" windowWidth="13420" windowHeight="11990"/>
  </bookViews>
  <sheets>
    <sheet name="使用量と光熱費" sheetId="1" r:id="rId1"/>
    <sheet name="照明" sheetId="2" r:id="rId2"/>
    <sheet name="空調（電気）" sheetId="3" r:id="rId3"/>
    <sheet name="空調（電気） (APF)" sheetId="13" r:id="rId4"/>
    <sheet name="空調（GHP)" sheetId="4" r:id="rId5"/>
    <sheet name="空調（GHP)（APF）" sheetId="15" r:id="rId6"/>
    <sheet name="ボイラー・給湯器" sheetId="5" r:id="rId7"/>
    <sheet name="コンプレッサー" sheetId="7" r:id="rId8"/>
    <sheet name="変圧器" sheetId="8" r:id="rId9"/>
    <sheet name="その他" sheetId="6" state="hidden" r:id="rId10"/>
    <sheet name="記入例" sheetId="12" r:id="rId11"/>
    <sheet name="係数" sheetId="9" r:id="rId12"/>
    <sheet name="モーター効率" sheetId="10" state="hidden" r:id="rId13"/>
    <sheet name="空調kcal換算" sheetId="11" state="hidden" r:id="rId14"/>
    <sheet name="出典資料" sheetId="16" state="hidden" r:id="rId15"/>
  </sheets>
  <definedNames>
    <definedName name="haishutukeisuu" hidden="1">{"'第２表'!$W$27:$AA$68"}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lpu" hidden="1">{"'第２表'!$W$27:$AA$68"}</definedName>
    <definedName name="pps推移" hidden="1">{"'第２表'!$W$27:$AA$68"}</definedName>
    <definedName name="_xlnm.Print_Area" localSheetId="7">コンプレッサー!$A$1:$AI$30</definedName>
    <definedName name="_xlnm.Print_Area" localSheetId="9">その他!$A$1:$AA$39</definedName>
    <definedName name="_xlnm.Print_Area" localSheetId="6">ボイラー・給湯器!$A$1:$AO$35</definedName>
    <definedName name="_xlnm.Print_Area" localSheetId="4">'空調（GHP)'!$A$1:$AL$43</definedName>
    <definedName name="_xlnm.Print_Area" localSheetId="5">'空調（GHP)（APF）'!$A$1:$AE$43</definedName>
    <definedName name="_xlnm.Print_Area" localSheetId="2">'空調（電気）'!$A$1:$AE$39</definedName>
    <definedName name="_xlnm.Print_Area" localSheetId="3">'空調（電気） (APF)'!$A$1:$AA$40</definedName>
    <definedName name="_xlnm.Print_Area" localSheetId="0">使用量と光熱費!$A$1:$W$40</definedName>
    <definedName name="_xlnm.Print_Area" localSheetId="1">照明!$A$1:$W$45</definedName>
    <definedName name="_xlnm.Print_Area" localSheetId="8">変圧器!$A$1:$W$27</definedName>
    <definedName name="_xlnm.Print_Titles" localSheetId="4">'空調（GHP)'!$A:$B</definedName>
    <definedName name="_xlnm.Print_Titles" localSheetId="5">'空調（GHP)（APF）'!$A:$B</definedName>
    <definedName name="_xlnm.Print_Titles" localSheetId="2">'空調（電気）'!$A:$B</definedName>
    <definedName name="_xlnm.Print_Titles" localSheetId="3">'空調（電気） (APF)'!$A:$B</definedName>
    <definedName name="_xlnm.Print_Titles" localSheetId="1">照明!$A:$B,照明!$1:$15</definedName>
    <definedName name="rangeIE1">モーター効率!$B$2:$B$32</definedName>
    <definedName name="rangeIE2">モーター効率!$B$33:$B$63</definedName>
    <definedName name="rangeIE3">モーター効率!$B$64:$B$94</definedName>
    <definedName name="rangeIE4">モーター効率!$B$95:$B$118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4" i="5" l="1"/>
  <c r="AH33" i="5"/>
  <c r="AH32" i="5"/>
  <c r="AH31" i="5"/>
  <c r="AH30" i="5"/>
  <c r="AH29" i="5"/>
  <c r="AH28" i="5"/>
  <c r="AH27" i="5"/>
  <c r="AH26" i="5"/>
  <c r="AH25" i="5"/>
  <c r="AH24" i="5"/>
  <c r="AH23" i="5"/>
  <c r="AH22" i="5"/>
  <c r="AH21" i="5"/>
  <c r="AH20" i="5"/>
  <c r="AZ34" i="5" l="1"/>
  <c r="AZ33" i="5"/>
  <c r="AZ32" i="5"/>
  <c r="AZ31" i="5"/>
  <c r="AZ30" i="5"/>
  <c r="AZ29" i="5"/>
  <c r="AZ28" i="5"/>
  <c r="AZ27" i="5"/>
  <c r="AZ26" i="5"/>
  <c r="AZ25" i="5"/>
  <c r="AZ24" i="5"/>
  <c r="AZ23" i="5"/>
  <c r="AZ22" i="5"/>
  <c r="AZ21" i="5"/>
  <c r="AT34" i="5"/>
  <c r="AT33" i="5"/>
  <c r="AT32" i="5"/>
  <c r="AT31" i="5"/>
  <c r="AT30" i="5"/>
  <c r="AT29" i="5"/>
  <c r="AT28" i="5"/>
  <c r="AT27" i="5"/>
  <c r="AT26" i="5"/>
  <c r="AT25" i="5"/>
  <c r="AT24" i="5"/>
  <c r="AT23" i="5"/>
  <c r="AT22" i="5"/>
  <c r="AT21" i="5"/>
  <c r="AZ20" i="5"/>
  <c r="AT20" i="5"/>
  <c r="AH18" i="5"/>
  <c r="AO18" i="5" l="1"/>
  <c r="BA42" i="4" l="1"/>
  <c r="BA41" i="4"/>
  <c r="BA40" i="4"/>
  <c r="BA39" i="4"/>
  <c r="BA38" i="4"/>
  <c r="BA37" i="4"/>
  <c r="BA36" i="4"/>
  <c r="BA35" i="4"/>
  <c r="BA34" i="4"/>
  <c r="BA33" i="4"/>
  <c r="BA32" i="4"/>
  <c r="BA31" i="4"/>
  <c r="BA30" i="4"/>
  <c r="BA29" i="4"/>
  <c r="BA28" i="4"/>
  <c r="BA27" i="4"/>
  <c r="BA26" i="4"/>
  <c r="BA25" i="4"/>
  <c r="BA24" i="4"/>
  <c r="BA23" i="4"/>
  <c r="BA22" i="4"/>
  <c r="AV42" i="4"/>
  <c r="AU42" i="4"/>
  <c r="AV41" i="4"/>
  <c r="AU41" i="4"/>
  <c r="AV40" i="4"/>
  <c r="AU40" i="4"/>
  <c r="AV39" i="4"/>
  <c r="AU39" i="4"/>
  <c r="AV38" i="4"/>
  <c r="AU38" i="4"/>
  <c r="AV37" i="4"/>
  <c r="AU37" i="4"/>
  <c r="AV36" i="4"/>
  <c r="AU36" i="4"/>
  <c r="AV35" i="4"/>
  <c r="AU35" i="4"/>
  <c r="AV34" i="4"/>
  <c r="AU34" i="4"/>
  <c r="AV33" i="4"/>
  <c r="AU33" i="4"/>
  <c r="AV32" i="4"/>
  <c r="AU32" i="4"/>
  <c r="AV31" i="4"/>
  <c r="AU31" i="4"/>
  <c r="AV30" i="4"/>
  <c r="AU30" i="4"/>
  <c r="AV29" i="4"/>
  <c r="AU29" i="4"/>
  <c r="AV28" i="4"/>
  <c r="AU28" i="4"/>
  <c r="AV27" i="4"/>
  <c r="AU27" i="4"/>
  <c r="AV26" i="4"/>
  <c r="AU26" i="4"/>
  <c r="AV25" i="4"/>
  <c r="AU25" i="4"/>
  <c r="AV24" i="4"/>
  <c r="AU24" i="4"/>
  <c r="AV23" i="4"/>
  <c r="AU23" i="4"/>
  <c r="AU22" i="4"/>
  <c r="AV21" i="4"/>
  <c r="AU21" i="4"/>
  <c r="AT42" i="4"/>
  <c r="AT41" i="4"/>
  <c r="AT40" i="4"/>
  <c r="AT39" i="4"/>
  <c r="AT38" i="4"/>
  <c r="AT37" i="4"/>
  <c r="AT36" i="4"/>
  <c r="AT35" i="4"/>
  <c r="AT34" i="4"/>
  <c r="AT33" i="4"/>
  <c r="AT32" i="4"/>
  <c r="AT31" i="4"/>
  <c r="AT30" i="4"/>
  <c r="AT29" i="4"/>
  <c r="AT28" i="4"/>
  <c r="AT27" i="4"/>
  <c r="AT26" i="4"/>
  <c r="AT25" i="4"/>
  <c r="AT24" i="4"/>
  <c r="AT23" i="4"/>
  <c r="AT22" i="4"/>
  <c r="AP42" i="4"/>
  <c r="AO42" i="4"/>
  <c r="AN42" i="4"/>
  <c r="AP41" i="4"/>
  <c r="AO41" i="4"/>
  <c r="AN41" i="4"/>
  <c r="AP40" i="4"/>
  <c r="AO40" i="4"/>
  <c r="AN40" i="4"/>
  <c r="AP39" i="4"/>
  <c r="AO39" i="4"/>
  <c r="AN39" i="4"/>
  <c r="AP38" i="4"/>
  <c r="AO38" i="4"/>
  <c r="AN38" i="4"/>
  <c r="AP37" i="4"/>
  <c r="AO37" i="4"/>
  <c r="AN37" i="4"/>
  <c r="AP36" i="4"/>
  <c r="AO36" i="4"/>
  <c r="AN36" i="4"/>
  <c r="AP35" i="4"/>
  <c r="AO35" i="4"/>
  <c r="AN35" i="4"/>
  <c r="AP34" i="4"/>
  <c r="AO34" i="4"/>
  <c r="AN34" i="4"/>
  <c r="AP33" i="4"/>
  <c r="AO33" i="4"/>
  <c r="AN33" i="4"/>
  <c r="AP32" i="4"/>
  <c r="AO32" i="4"/>
  <c r="AN32" i="4"/>
  <c r="AP31" i="4"/>
  <c r="AO31" i="4"/>
  <c r="AN31" i="4"/>
  <c r="AP30" i="4"/>
  <c r="AO30" i="4"/>
  <c r="AN30" i="4"/>
  <c r="AP29" i="4"/>
  <c r="AO29" i="4"/>
  <c r="AN29" i="4"/>
  <c r="AP28" i="4"/>
  <c r="AO28" i="4"/>
  <c r="AN28" i="4"/>
  <c r="AP27" i="4"/>
  <c r="AO27" i="4"/>
  <c r="AN27" i="4"/>
  <c r="AP26" i="4"/>
  <c r="AO26" i="4"/>
  <c r="AN26" i="4"/>
  <c r="AP25" i="4"/>
  <c r="AO25" i="4"/>
  <c r="AN25" i="4"/>
  <c r="AP24" i="4"/>
  <c r="AO24" i="4"/>
  <c r="AN24" i="4"/>
  <c r="AP23" i="4"/>
  <c r="AO23" i="4"/>
  <c r="AN23" i="4"/>
  <c r="AP22" i="4"/>
  <c r="AO22" i="4"/>
  <c r="AN22" i="4"/>
  <c r="AO21" i="4"/>
  <c r="AN21" i="4"/>
  <c r="AH20" i="3"/>
  <c r="AG20" i="3"/>
  <c r="AG21" i="3"/>
  <c r="AJ21" i="3"/>
  <c r="AL39" i="3"/>
  <c r="AK39" i="3"/>
  <c r="AJ39" i="3"/>
  <c r="AL38" i="3"/>
  <c r="AK38" i="3"/>
  <c r="AJ38" i="3"/>
  <c r="AL37" i="3"/>
  <c r="AK37" i="3"/>
  <c r="AJ37" i="3"/>
  <c r="AL36" i="3"/>
  <c r="AK36" i="3"/>
  <c r="AJ36" i="3"/>
  <c r="AL35" i="3"/>
  <c r="AK35" i="3"/>
  <c r="AJ35" i="3"/>
  <c r="AL34" i="3"/>
  <c r="AK34" i="3"/>
  <c r="AJ34" i="3"/>
  <c r="AL33" i="3"/>
  <c r="AK33" i="3"/>
  <c r="AJ33" i="3"/>
  <c r="AL32" i="3"/>
  <c r="AK32" i="3"/>
  <c r="AJ32" i="3"/>
  <c r="AL31" i="3"/>
  <c r="AK31" i="3"/>
  <c r="AJ31" i="3"/>
  <c r="AL30" i="3"/>
  <c r="AK30" i="3"/>
  <c r="AJ30" i="3"/>
  <c r="AL29" i="3"/>
  <c r="AK29" i="3"/>
  <c r="AJ29" i="3"/>
  <c r="AL28" i="3"/>
  <c r="AK28" i="3"/>
  <c r="AJ28" i="3"/>
  <c r="AL27" i="3"/>
  <c r="AK27" i="3"/>
  <c r="AJ27" i="3"/>
  <c r="AL26" i="3"/>
  <c r="AK26" i="3"/>
  <c r="AJ26" i="3"/>
  <c r="AL25" i="3"/>
  <c r="AK25" i="3"/>
  <c r="AJ25" i="3"/>
  <c r="AL24" i="3"/>
  <c r="AK24" i="3"/>
  <c r="AJ24" i="3"/>
  <c r="AL23" i="3"/>
  <c r="AK23" i="3"/>
  <c r="AJ23" i="3"/>
  <c r="AK22" i="3"/>
  <c r="AJ22" i="3"/>
  <c r="AK21" i="3"/>
  <c r="AK20" i="3"/>
  <c r="AJ20" i="3"/>
  <c r="AI39" i="3"/>
  <c r="AH39" i="3"/>
  <c r="AG39" i="3"/>
  <c r="AI38" i="3"/>
  <c r="AH38" i="3"/>
  <c r="AG38" i="3"/>
  <c r="AI37" i="3"/>
  <c r="AH37" i="3"/>
  <c r="AG37" i="3"/>
  <c r="AI36" i="3"/>
  <c r="AH36" i="3"/>
  <c r="AG36" i="3"/>
  <c r="AI35" i="3"/>
  <c r="AH35" i="3"/>
  <c r="AG35" i="3"/>
  <c r="AI34" i="3"/>
  <c r="AH34" i="3"/>
  <c r="AG34" i="3"/>
  <c r="AI33" i="3"/>
  <c r="AH33" i="3"/>
  <c r="AG33" i="3"/>
  <c r="AI32" i="3"/>
  <c r="AH32" i="3"/>
  <c r="AG32" i="3"/>
  <c r="AI31" i="3"/>
  <c r="AH31" i="3"/>
  <c r="AG31" i="3"/>
  <c r="AI30" i="3"/>
  <c r="AH30" i="3"/>
  <c r="AG30" i="3"/>
  <c r="AI29" i="3"/>
  <c r="AH29" i="3"/>
  <c r="AG29" i="3"/>
  <c r="AI28" i="3"/>
  <c r="AH28" i="3"/>
  <c r="AG28" i="3"/>
  <c r="AI27" i="3"/>
  <c r="AH27" i="3"/>
  <c r="AG27" i="3"/>
  <c r="AI26" i="3"/>
  <c r="AH26" i="3"/>
  <c r="AG26" i="3"/>
  <c r="AI25" i="3"/>
  <c r="AH25" i="3"/>
  <c r="AG25" i="3"/>
  <c r="AI24" i="3"/>
  <c r="AH24" i="3"/>
  <c r="AG24" i="3"/>
  <c r="AI23" i="3"/>
  <c r="AH23" i="3"/>
  <c r="AG23" i="3"/>
  <c r="AH22" i="3"/>
  <c r="AG22" i="3"/>
  <c r="AH21" i="3"/>
  <c r="K20" i="3" l="1"/>
  <c r="K21" i="3"/>
  <c r="K22" i="3"/>
  <c r="K23" i="3"/>
  <c r="AQ18" i="5" l="1"/>
  <c r="X19" i="13"/>
  <c r="W19" i="13"/>
  <c r="AG42" i="4"/>
  <c r="AG41" i="4"/>
  <c r="AG40" i="4"/>
  <c r="AG39" i="4"/>
  <c r="AG38" i="4"/>
  <c r="AG37" i="4"/>
  <c r="AG36" i="4"/>
  <c r="AG35" i="4"/>
  <c r="AG34" i="4"/>
  <c r="AG33" i="4"/>
  <c r="AG32" i="4"/>
  <c r="AG31" i="4"/>
  <c r="AG30" i="4"/>
  <c r="AG29" i="4"/>
  <c r="AG28" i="4"/>
  <c r="AG27" i="4"/>
  <c r="AG26" i="4"/>
  <c r="AG25" i="4"/>
  <c r="T25" i="4"/>
  <c r="AF42" i="4"/>
  <c r="AF41" i="4"/>
  <c r="AF40" i="4"/>
  <c r="AF39" i="4"/>
  <c r="AF38" i="4"/>
  <c r="AF37" i="4"/>
  <c r="AF36" i="4"/>
  <c r="AF35" i="4"/>
  <c r="AF34" i="4"/>
  <c r="AF33" i="4"/>
  <c r="AF32" i="4"/>
  <c r="AF31" i="4"/>
  <c r="AF30" i="4"/>
  <c r="AF29" i="4"/>
  <c r="AF28" i="4"/>
  <c r="AF27" i="4"/>
  <c r="AF26" i="4"/>
  <c r="AF25" i="4"/>
  <c r="I30" i="9" l="1"/>
  <c r="H30" i="9"/>
  <c r="D30" i="9"/>
  <c r="I29" i="9"/>
  <c r="H29" i="9"/>
  <c r="D29" i="9"/>
  <c r="I28" i="9"/>
  <c r="H28" i="9"/>
  <c r="D28" i="9"/>
  <c r="I27" i="9"/>
  <c r="H27" i="9"/>
  <c r="D27" i="9"/>
  <c r="I26" i="9"/>
  <c r="H26" i="9"/>
  <c r="D26" i="9"/>
  <c r="I25" i="9"/>
  <c r="H25" i="9"/>
  <c r="D25" i="9"/>
  <c r="I24" i="9"/>
  <c r="H24" i="9"/>
  <c r="D24" i="9"/>
  <c r="I23" i="9"/>
  <c r="H23" i="9"/>
  <c r="D23" i="9"/>
  <c r="I22" i="9"/>
  <c r="H22" i="9"/>
  <c r="D22" i="9"/>
  <c r="I21" i="9"/>
  <c r="H21" i="9"/>
  <c r="D21" i="9"/>
  <c r="I20" i="9"/>
  <c r="H20" i="9"/>
  <c r="D20" i="9"/>
  <c r="I19" i="9"/>
  <c r="H19" i="9"/>
  <c r="D19" i="9"/>
  <c r="I18" i="9"/>
  <c r="H18" i="9"/>
  <c r="D18" i="9"/>
  <c r="I17" i="9"/>
  <c r="H17" i="9"/>
  <c r="D17" i="9"/>
  <c r="I16" i="9"/>
  <c r="H16" i="9"/>
  <c r="D16" i="9"/>
  <c r="I15" i="9"/>
  <c r="H15" i="9"/>
  <c r="D15" i="9"/>
  <c r="I14" i="9"/>
  <c r="H14" i="9"/>
  <c r="D14" i="9"/>
  <c r="I13" i="9"/>
  <c r="H13" i="9"/>
  <c r="D13" i="9"/>
  <c r="I12" i="9"/>
  <c r="H12" i="9"/>
  <c r="D12" i="9"/>
  <c r="I11" i="9"/>
  <c r="H11" i="9"/>
  <c r="D11" i="9"/>
  <c r="I10" i="9"/>
  <c r="H10" i="9"/>
  <c r="D10" i="9"/>
  <c r="I9" i="9"/>
  <c r="H9" i="9"/>
  <c r="D9" i="9"/>
  <c r="I8" i="9"/>
  <c r="H8" i="9"/>
  <c r="D8" i="9"/>
  <c r="I7" i="9"/>
  <c r="H7" i="9"/>
  <c r="D7" i="9"/>
  <c r="I6" i="9"/>
  <c r="H6" i="9"/>
  <c r="D6" i="9"/>
  <c r="I5" i="9"/>
  <c r="H5" i="9"/>
  <c r="D5" i="9"/>
  <c r="I4" i="9"/>
  <c r="H4" i="9"/>
  <c r="D4" i="9"/>
  <c r="I3" i="9"/>
  <c r="H3" i="9"/>
  <c r="D3" i="9"/>
  <c r="O110" i="12"/>
  <c r="M110" i="12"/>
  <c r="AK109" i="12"/>
  <c r="AE109" i="12"/>
  <c r="U109" i="12"/>
  <c r="N109" i="12"/>
  <c r="AA38" i="6"/>
  <c r="Z38" i="6"/>
  <c r="Y38" i="6"/>
  <c r="X38" i="6"/>
  <c r="W38" i="6"/>
  <c r="V38" i="6"/>
  <c r="U38" i="6"/>
  <c r="M38" i="6"/>
  <c r="L38" i="6"/>
  <c r="K38" i="6"/>
  <c r="J38" i="6"/>
  <c r="AA37" i="6"/>
  <c r="Z37" i="6"/>
  <c r="Y37" i="6"/>
  <c r="X37" i="6"/>
  <c r="W37" i="6"/>
  <c r="V37" i="6"/>
  <c r="U37" i="6"/>
  <c r="M37" i="6"/>
  <c r="L37" i="6"/>
  <c r="K37" i="6"/>
  <c r="J37" i="6"/>
  <c r="AA36" i="6"/>
  <c r="Z36" i="6"/>
  <c r="Y36" i="6"/>
  <c r="X36" i="6"/>
  <c r="W36" i="6"/>
  <c r="V36" i="6"/>
  <c r="U36" i="6"/>
  <c r="M36" i="6"/>
  <c r="L36" i="6"/>
  <c r="K36" i="6"/>
  <c r="J36" i="6"/>
  <c r="AA35" i="6"/>
  <c r="Z35" i="6"/>
  <c r="Y35" i="6"/>
  <c r="X35" i="6"/>
  <c r="W35" i="6"/>
  <c r="V35" i="6"/>
  <c r="U35" i="6"/>
  <c r="M35" i="6"/>
  <c r="L35" i="6"/>
  <c r="K35" i="6"/>
  <c r="J35" i="6"/>
  <c r="AA34" i="6"/>
  <c r="Z34" i="6"/>
  <c r="Y34" i="6"/>
  <c r="X34" i="6"/>
  <c r="W34" i="6"/>
  <c r="V34" i="6"/>
  <c r="U34" i="6"/>
  <c r="M34" i="6"/>
  <c r="L34" i="6"/>
  <c r="K34" i="6"/>
  <c r="J34" i="6"/>
  <c r="AA33" i="6"/>
  <c r="Z33" i="6"/>
  <c r="Y33" i="6"/>
  <c r="X33" i="6"/>
  <c r="W33" i="6"/>
  <c r="V33" i="6"/>
  <c r="U33" i="6"/>
  <c r="M33" i="6"/>
  <c r="L33" i="6"/>
  <c r="K33" i="6"/>
  <c r="J33" i="6"/>
  <c r="AA32" i="6"/>
  <c r="Z32" i="6"/>
  <c r="Y32" i="6"/>
  <c r="X32" i="6"/>
  <c r="W32" i="6"/>
  <c r="V32" i="6"/>
  <c r="U32" i="6"/>
  <c r="M32" i="6"/>
  <c r="L32" i="6"/>
  <c r="K32" i="6"/>
  <c r="J32" i="6"/>
  <c r="AA31" i="6"/>
  <c r="Z31" i="6"/>
  <c r="Y31" i="6"/>
  <c r="X31" i="6"/>
  <c r="W31" i="6"/>
  <c r="V31" i="6"/>
  <c r="U31" i="6"/>
  <c r="M31" i="6"/>
  <c r="L31" i="6"/>
  <c r="K31" i="6"/>
  <c r="J31" i="6"/>
  <c r="AA30" i="6"/>
  <c r="Z30" i="6"/>
  <c r="Y30" i="6"/>
  <c r="X30" i="6"/>
  <c r="W30" i="6"/>
  <c r="V30" i="6"/>
  <c r="U30" i="6"/>
  <c r="M30" i="6"/>
  <c r="L30" i="6"/>
  <c r="K30" i="6"/>
  <c r="J30" i="6"/>
  <c r="AA29" i="6"/>
  <c r="Z29" i="6"/>
  <c r="Y29" i="6"/>
  <c r="X29" i="6"/>
  <c r="W29" i="6"/>
  <c r="V29" i="6"/>
  <c r="U29" i="6"/>
  <c r="M29" i="6"/>
  <c r="L29" i="6"/>
  <c r="K29" i="6"/>
  <c r="J29" i="6"/>
  <c r="AA28" i="6"/>
  <c r="Z28" i="6"/>
  <c r="Y28" i="6"/>
  <c r="X28" i="6"/>
  <c r="W28" i="6"/>
  <c r="V28" i="6"/>
  <c r="U28" i="6"/>
  <c r="M28" i="6"/>
  <c r="L28" i="6"/>
  <c r="K28" i="6"/>
  <c r="J28" i="6"/>
  <c r="AA27" i="6"/>
  <c r="Z27" i="6"/>
  <c r="Y27" i="6"/>
  <c r="X27" i="6"/>
  <c r="W27" i="6"/>
  <c r="V27" i="6"/>
  <c r="U27" i="6"/>
  <c r="M27" i="6"/>
  <c r="L27" i="6"/>
  <c r="K27" i="6"/>
  <c r="J27" i="6"/>
  <c r="AA26" i="6"/>
  <c r="Z26" i="6"/>
  <c r="Y26" i="6"/>
  <c r="X26" i="6"/>
  <c r="W26" i="6"/>
  <c r="V26" i="6"/>
  <c r="U26" i="6"/>
  <c r="M26" i="6"/>
  <c r="L26" i="6"/>
  <c r="K26" i="6"/>
  <c r="J26" i="6"/>
  <c r="AA25" i="6"/>
  <c r="Z25" i="6"/>
  <c r="Y25" i="6"/>
  <c r="X25" i="6"/>
  <c r="W25" i="6"/>
  <c r="V25" i="6"/>
  <c r="U25" i="6"/>
  <c r="M25" i="6"/>
  <c r="L25" i="6"/>
  <c r="K25" i="6"/>
  <c r="J25" i="6"/>
  <c r="AA24" i="6"/>
  <c r="Z24" i="6"/>
  <c r="Y24" i="6"/>
  <c r="X24" i="6"/>
  <c r="W24" i="6"/>
  <c r="V24" i="6"/>
  <c r="U24" i="6"/>
  <c r="M24" i="6"/>
  <c r="L24" i="6"/>
  <c r="K24" i="6"/>
  <c r="J24" i="6"/>
  <c r="AA23" i="6"/>
  <c r="Z23" i="6"/>
  <c r="Y23" i="6"/>
  <c r="X23" i="6"/>
  <c r="W23" i="6"/>
  <c r="V23" i="6"/>
  <c r="U23" i="6"/>
  <c r="M23" i="6"/>
  <c r="L23" i="6"/>
  <c r="K23" i="6"/>
  <c r="J23" i="6"/>
  <c r="AA22" i="6"/>
  <c r="Z22" i="6"/>
  <c r="Y22" i="6"/>
  <c r="X22" i="6"/>
  <c r="W22" i="6"/>
  <c r="V22" i="6"/>
  <c r="U22" i="6"/>
  <c r="M22" i="6"/>
  <c r="L22" i="6"/>
  <c r="K22" i="6"/>
  <c r="J22" i="6"/>
  <c r="AA21" i="6"/>
  <c r="Z21" i="6"/>
  <c r="Y21" i="6"/>
  <c r="X21" i="6"/>
  <c r="W21" i="6"/>
  <c r="V21" i="6"/>
  <c r="U21" i="6"/>
  <c r="M21" i="6"/>
  <c r="L21" i="6"/>
  <c r="K21" i="6"/>
  <c r="J21" i="6"/>
  <c r="AA20" i="6"/>
  <c r="Z20" i="6"/>
  <c r="Y20" i="6"/>
  <c r="X20" i="6"/>
  <c r="W20" i="6"/>
  <c r="V20" i="6"/>
  <c r="U20" i="6"/>
  <c r="M20" i="6"/>
  <c r="L20" i="6"/>
  <c r="K20" i="6"/>
  <c r="J20" i="6"/>
  <c r="AA19" i="6"/>
  <c r="Z19" i="6"/>
  <c r="Y19" i="6"/>
  <c r="X19" i="6"/>
  <c r="W19" i="6"/>
  <c r="V19" i="6"/>
  <c r="U19" i="6"/>
  <c r="M19" i="6"/>
  <c r="L19" i="6"/>
  <c r="K19" i="6"/>
  <c r="J19" i="6"/>
  <c r="AA18" i="6"/>
  <c r="Z18" i="6"/>
  <c r="Y18" i="6"/>
  <c r="X18" i="6"/>
  <c r="W18" i="6"/>
  <c r="V18" i="6"/>
  <c r="U18" i="6"/>
  <c r="R18" i="6"/>
  <c r="O18" i="6"/>
  <c r="M18" i="6"/>
  <c r="L18" i="6"/>
  <c r="K18" i="6"/>
  <c r="J18" i="6"/>
  <c r="G18" i="6"/>
  <c r="D18" i="6"/>
  <c r="AA17" i="6"/>
  <c r="Z17" i="6"/>
  <c r="Y17" i="6"/>
  <c r="X17" i="6"/>
  <c r="W17" i="6"/>
  <c r="V17" i="6"/>
  <c r="U17" i="6"/>
  <c r="M17" i="6"/>
  <c r="L17" i="6"/>
  <c r="K17" i="6"/>
  <c r="J17" i="6"/>
  <c r="I10" i="6"/>
  <c r="H10" i="6"/>
  <c r="G10" i="6"/>
  <c r="Z16" i="6" s="1"/>
  <c r="F10" i="6"/>
  <c r="E10" i="6"/>
  <c r="I8" i="6"/>
  <c r="J8" i="6" s="1"/>
  <c r="H8" i="6"/>
  <c r="G8" i="6"/>
  <c r="J6" i="6"/>
  <c r="I6" i="6"/>
  <c r="H6" i="6"/>
  <c r="G6" i="6"/>
  <c r="J5" i="6"/>
  <c r="I5" i="6"/>
  <c r="H5" i="6"/>
  <c r="G5" i="6"/>
  <c r="J4" i="6"/>
  <c r="I4" i="6"/>
  <c r="H4" i="6"/>
  <c r="G4" i="6"/>
  <c r="W67" i="8"/>
  <c r="V67" i="8"/>
  <c r="U67" i="8"/>
  <c r="T67" i="8"/>
  <c r="S67" i="8"/>
  <c r="R67" i="8"/>
  <c r="Q67" i="8"/>
  <c r="K67" i="8"/>
  <c r="J67" i="8"/>
  <c r="H67" i="8"/>
  <c r="W66" i="8"/>
  <c r="V66" i="8"/>
  <c r="U66" i="8"/>
  <c r="T66" i="8"/>
  <c r="S66" i="8"/>
  <c r="R66" i="8"/>
  <c r="Q66" i="8"/>
  <c r="K66" i="8"/>
  <c r="J66" i="8"/>
  <c r="H66" i="8"/>
  <c r="W65" i="8"/>
  <c r="V65" i="8"/>
  <c r="U65" i="8"/>
  <c r="T65" i="8"/>
  <c r="S65" i="8"/>
  <c r="R65" i="8"/>
  <c r="Q65" i="8"/>
  <c r="K65" i="8"/>
  <c r="J65" i="8"/>
  <c r="H65" i="8"/>
  <c r="W64" i="8"/>
  <c r="V64" i="8"/>
  <c r="U64" i="8"/>
  <c r="T64" i="8"/>
  <c r="S64" i="8"/>
  <c r="R64" i="8"/>
  <c r="Q64" i="8"/>
  <c r="K64" i="8"/>
  <c r="J64" i="8"/>
  <c r="H64" i="8"/>
  <c r="W63" i="8"/>
  <c r="V63" i="8"/>
  <c r="U63" i="8"/>
  <c r="T63" i="8"/>
  <c r="S63" i="8"/>
  <c r="R63" i="8"/>
  <c r="Q63" i="8"/>
  <c r="K63" i="8"/>
  <c r="J63" i="8"/>
  <c r="H63" i="8"/>
  <c r="W62" i="8"/>
  <c r="V62" i="8"/>
  <c r="U62" i="8"/>
  <c r="T62" i="8"/>
  <c r="S62" i="8"/>
  <c r="R62" i="8"/>
  <c r="Q62" i="8"/>
  <c r="K62" i="8"/>
  <c r="J62" i="8"/>
  <c r="H62" i="8"/>
  <c r="W61" i="8"/>
  <c r="V61" i="8"/>
  <c r="U61" i="8"/>
  <c r="T61" i="8"/>
  <c r="S61" i="8"/>
  <c r="R61" i="8"/>
  <c r="Q61" i="8"/>
  <c r="K61" i="8"/>
  <c r="J61" i="8"/>
  <c r="H61" i="8"/>
  <c r="W60" i="8"/>
  <c r="V60" i="8"/>
  <c r="U60" i="8"/>
  <c r="T60" i="8"/>
  <c r="S60" i="8"/>
  <c r="R60" i="8"/>
  <c r="Q60" i="8"/>
  <c r="K60" i="8"/>
  <c r="J60" i="8"/>
  <c r="H60" i="8"/>
  <c r="W59" i="8"/>
  <c r="V59" i="8"/>
  <c r="U59" i="8"/>
  <c r="T59" i="8"/>
  <c r="S59" i="8"/>
  <c r="R59" i="8"/>
  <c r="Q59" i="8"/>
  <c r="K59" i="8"/>
  <c r="J59" i="8"/>
  <c r="H59" i="8"/>
  <c r="W58" i="8"/>
  <c r="V58" i="8"/>
  <c r="U58" i="8"/>
  <c r="T58" i="8"/>
  <c r="S58" i="8"/>
  <c r="R58" i="8"/>
  <c r="Q58" i="8"/>
  <c r="K58" i="8"/>
  <c r="J58" i="8"/>
  <c r="H58" i="8"/>
  <c r="W57" i="8"/>
  <c r="V57" i="8"/>
  <c r="U57" i="8"/>
  <c r="T57" i="8"/>
  <c r="S57" i="8"/>
  <c r="R57" i="8"/>
  <c r="Q57" i="8"/>
  <c r="K57" i="8"/>
  <c r="J57" i="8"/>
  <c r="H57" i="8"/>
  <c r="W56" i="8"/>
  <c r="V56" i="8"/>
  <c r="U56" i="8"/>
  <c r="T56" i="8"/>
  <c r="S56" i="8"/>
  <c r="R56" i="8"/>
  <c r="Q56" i="8"/>
  <c r="K56" i="8"/>
  <c r="J56" i="8"/>
  <c r="H56" i="8"/>
  <c r="W55" i="8"/>
  <c r="V55" i="8"/>
  <c r="U55" i="8"/>
  <c r="T55" i="8"/>
  <c r="S55" i="8"/>
  <c r="R55" i="8"/>
  <c r="Q55" i="8"/>
  <c r="K55" i="8"/>
  <c r="J55" i="8"/>
  <c r="H55" i="8"/>
  <c r="W54" i="8"/>
  <c r="V54" i="8"/>
  <c r="U54" i="8"/>
  <c r="T54" i="8"/>
  <c r="S54" i="8"/>
  <c r="R54" i="8"/>
  <c r="Q54" i="8"/>
  <c r="K54" i="8"/>
  <c r="J54" i="8"/>
  <c r="H54" i="8"/>
  <c r="W53" i="8"/>
  <c r="V53" i="8"/>
  <c r="U53" i="8"/>
  <c r="T53" i="8"/>
  <c r="S53" i="8"/>
  <c r="R53" i="8"/>
  <c r="Q53" i="8"/>
  <c r="K53" i="8"/>
  <c r="J53" i="8"/>
  <c r="H53" i="8"/>
  <c r="W52" i="8"/>
  <c r="V52" i="8"/>
  <c r="U52" i="8"/>
  <c r="T52" i="8"/>
  <c r="S52" i="8"/>
  <c r="R52" i="8"/>
  <c r="Q52" i="8"/>
  <c r="K52" i="8"/>
  <c r="J52" i="8"/>
  <c r="H52" i="8"/>
  <c r="W51" i="8"/>
  <c r="V51" i="8"/>
  <c r="U51" i="8"/>
  <c r="T51" i="8"/>
  <c r="S51" i="8"/>
  <c r="R51" i="8"/>
  <c r="Q51" i="8"/>
  <c r="K51" i="8"/>
  <c r="J51" i="8"/>
  <c r="H51" i="8"/>
  <c r="W50" i="8"/>
  <c r="V50" i="8"/>
  <c r="U50" i="8"/>
  <c r="T50" i="8"/>
  <c r="S50" i="8"/>
  <c r="R50" i="8"/>
  <c r="Q50" i="8"/>
  <c r="K50" i="8"/>
  <c r="J50" i="8"/>
  <c r="H50" i="8"/>
  <c r="W49" i="8"/>
  <c r="V49" i="8"/>
  <c r="U49" i="8"/>
  <c r="T49" i="8"/>
  <c r="S49" i="8"/>
  <c r="R49" i="8"/>
  <c r="Q49" i="8"/>
  <c r="K49" i="8"/>
  <c r="J49" i="8"/>
  <c r="H49" i="8"/>
  <c r="W48" i="8"/>
  <c r="V48" i="8"/>
  <c r="U48" i="8"/>
  <c r="T48" i="8"/>
  <c r="S48" i="8"/>
  <c r="R48" i="8"/>
  <c r="Q48" i="8"/>
  <c r="K48" i="8"/>
  <c r="J48" i="8"/>
  <c r="H48" i="8"/>
  <c r="W47" i="8"/>
  <c r="V47" i="8"/>
  <c r="U47" i="8"/>
  <c r="T47" i="8"/>
  <c r="S47" i="8"/>
  <c r="R47" i="8"/>
  <c r="Q47" i="8"/>
  <c r="K47" i="8"/>
  <c r="J47" i="8"/>
  <c r="H47" i="8"/>
  <c r="W46" i="8"/>
  <c r="V46" i="8"/>
  <c r="U46" i="8"/>
  <c r="T46" i="8"/>
  <c r="S46" i="8"/>
  <c r="R46" i="8"/>
  <c r="Q46" i="8"/>
  <c r="K46" i="8"/>
  <c r="J46" i="8"/>
  <c r="H46" i="8"/>
  <c r="W45" i="8"/>
  <c r="V45" i="8"/>
  <c r="U45" i="8"/>
  <c r="T45" i="8"/>
  <c r="S45" i="8"/>
  <c r="R45" i="8"/>
  <c r="Q45" i="8"/>
  <c r="K45" i="8"/>
  <c r="J45" i="8"/>
  <c r="H45" i="8"/>
  <c r="W44" i="8"/>
  <c r="V44" i="8"/>
  <c r="U44" i="8"/>
  <c r="T44" i="8"/>
  <c r="S44" i="8"/>
  <c r="R44" i="8"/>
  <c r="Q44" i="8"/>
  <c r="K44" i="8"/>
  <c r="J44" i="8"/>
  <c r="H44" i="8"/>
  <c r="W43" i="8"/>
  <c r="V43" i="8"/>
  <c r="U43" i="8"/>
  <c r="T43" i="8"/>
  <c r="S43" i="8"/>
  <c r="R43" i="8"/>
  <c r="Q43" i="8"/>
  <c r="K43" i="8"/>
  <c r="J43" i="8"/>
  <c r="H43" i="8"/>
  <c r="W42" i="8"/>
  <c r="V42" i="8"/>
  <c r="U42" i="8"/>
  <c r="T42" i="8"/>
  <c r="S42" i="8"/>
  <c r="R42" i="8"/>
  <c r="Q42" i="8"/>
  <c r="K42" i="8"/>
  <c r="J42" i="8"/>
  <c r="H42" i="8"/>
  <c r="W41" i="8"/>
  <c r="V41" i="8"/>
  <c r="U41" i="8"/>
  <c r="T41" i="8"/>
  <c r="S41" i="8"/>
  <c r="R41" i="8"/>
  <c r="Q41" i="8"/>
  <c r="K41" i="8"/>
  <c r="J41" i="8"/>
  <c r="H41" i="8"/>
  <c r="W40" i="8"/>
  <c r="V40" i="8"/>
  <c r="U40" i="8"/>
  <c r="T40" i="8"/>
  <c r="S40" i="8"/>
  <c r="R40" i="8"/>
  <c r="Q40" i="8"/>
  <c r="K40" i="8"/>
  <c r="J40" i="8"/>
  <c r="H40" i="8"/>
  <c r="W39" i="8"/>
  <c r="V39" i="8"/>
  <c r="U39" i="8"/>
  <c r="T39" i="8"/>
  <c r="S39" i="8"/>
  <c r="R39" i="8"/>
  <c r="Q39" i="8"/>
  <c r="K39" i="8"/>
  <c r="J39" i="8"/>
  <c r="H39" i="8"/>
  <c r="W38" i="8"/>
  <c r="V38" i="8"/>
  <c r="U38" i="8"/>
  <c r="T38" i="8"/>
  <c r="S38" i="8"/>
  <c r="R38" i="8"/>
  <c r="Q38" i="8"/>
  <c r="K38" i="8"/>
  <c r="J38" i="8"/>
  <c r="H38" i="8"/>
  <c r="W37" i="8"/>
  <c r="V37" i="8"/>
  <c r="U37" i="8"/>
  <c r="T37" i="8"/>
  <c r="S37" i="8"/>
  <c r="R37" i="8"/>
  <c r="Q37" i="8"/>
  <c r="K37" i="8"/>
  <c r="J37" i="8"/>
  <c r="H37" i="8"/>
  <c r="W36" i="8"/>
  <c r="V36" i="8"/>
  <c r="U36" i="8"/>
  <c r="T36" i="8"/>
  <c r="S36" i="8"/>
  <c r="R36" i="8"/>
  <c r="Q36" i="8"/>
  <c r="K36" i="8"/>
  <c r="J36" i="8"/>
  <c r="H36" i="8"/>
  <c r="W35" i="8"/>
  <c r="V35" i="8"/>
  <c r="U35" i="8"/>
  <c r="T35" i="8"/>
  <c r="S35" i="8"/>
  <c r="R35" i="8"/>
  <c r="Q35" i="8"/>
  <c r="K35" i="8"/>
  <c r="J35" i="8"/>
  <c r="H35" i="8"/>
  <c r="W34" i="8"/>
  <c r="V34" i="8"/>
  <c r="U34" i="8"/>
  <c r="T34" i="8"/>
  <c r="S34" i="8"/>
  <c r="R34" i="8"/>
  <c r="Q34" i="8"/>
  <c r="K34" i="8"/>
  <c r="J34" i="8"/>
  <c r="H34" i="8"/>
  <c r="W33" i="8"/>
  <c r="V33" i="8"/>
  <c r="U33" i="8"/>
  <c r="T33" i="8"/>
  <c r="S33" i="8"/>
  <c r="R33" i="8"/>
  <c r="Q33" i="8"/>
  <c r="K33" i="8"/>
  <c r="J33" i="8"/>
  <c r="H33" i="8"/>
  <c r="W32" i="8"/>
  <c r="V32" i="8"/>
  <c r="U32" i="8"/>
  <c r="T32" i="8"/>
  <c r="S32" i="8"/>
  <c r="R32" i="8"/>
  <c r="Q32" i="8"/>
  <c r="K32" i="8"/>
  <c r="J32" i="8"/>
  <c r="H32" i="8"/>
  <c r="W31" i="8"/>
  <c r="V31" i="8"/>
  <c r="U31" i="8"/>
  <c r="T31" i="8"/>
  <c r="S31" i="8"/>
  <c r="R31" i="8"/>
  <c r="Q31" i="8"/>
  <c r="K31" i="8"/>
  <c r="J31" i="8"/>
  <c r="H31" i="8"/>
  <c r="W30" i="8"/>
  <c r="V30" i="8"/>
  <c r="U30" i="8"/>
  <c r="T30" i="8"/>
  <c r="S30" i="8"/>
  <c r="R30" i="8"/>
  <c r="Q30" i="8"/>
  <c r="K30" i="8"/>
  <c r="J30" i="8"/>
  <c r="H30" i="8"/>
  <c r="W29" i="8"/>
  <c r="V29" i="8"/>
  <c r="U29" i="8"/>
  <c r="T29" i="8"/>
  <c r="S29" i="8"/>
  <c r="R29" i="8"/>
  <c r="Q29" i="8"/>
  <c r="K29" i="8"/>
  <c r="J29" i="8"/>
  <c r="H29" i="8"/>
  <c r="W28" i="8"/>
  <c r="V28" i="8"/>
  <c r="U28" i="8"/>
  <c r="T28" i="8"/>
  <c r="S28" i="8"/>
  <c r="R28" i="8"/>
  <c r="Q28" i="8"/>
  <c r="K28" i="8"/>
  <c r="J28" i="8"/>
  <c r="H28" i="8"/>
  <c r="W27" i="8"/>
  <c r="V27" i="8"/>
  <c r="U27" i="8"/>
  <c r="T27" i="8"/>
  <c r="S27" i="8"/>
  <c r="R27" i="8"/>
  <c r="Q27" i="8"/>
  <c r="K27" i="8"/>
  <c r="J27" i="8"/>
  <c r="H27" i="8"/>
  <c r="W26" i="8"/>
  <c r="V26" i="8"/>
  <c r="U26" i="8"/>
  <c r="T26" i="8"/>
  <c r="S26" i="8"/>
  <c r="R26" i="8"/>
  <c r="Q26" i="8"/>
  <c r="K26" i="8"/>
  <c r="J26" i="8"/>
  <c r="H26" i="8"/>
  <c r="W25" i="8"/>
  <c r="V25" i="8"/>
  <c r="U25" i="8"/>
  <c r="T25" i="8"/>
  <c r="S25" i="8"/>
  <c r="R25" i="8"/>
  <c r="Q25" i="8"/>
  <c r="K25" i="8"/>
  <c r="J25" i="8"/>
  <c r="H25" i="8"/>
  <c r="W24" i="8"/>
  <c r="V24" i="8"/>
  <c r="U24" i="8"/>
  <c r="T24" i="8"/>
  <c r="S24" i="8"/>
  <c r="R24" i="8"/>
  <c r="Q24" i="8"/>
  <c r="K24" i="8"/>
  <c r="J24" i="8"/>
  <c r="H24" i="8"/>
  <c r="W23" i="8"/>
  <c r="V23" i="8"/>
  <c r="U23" i="8"/>
  <c r="T23" i="8"/>
  <c r="S23" i="8"/>
  <c r="R23" i="8"/>
  <c r="Q23" i="8"/>
  <c r="K23" i="8"/>
  <c r="J23" i="8"/>
  <c r="H23" i="8"/>
  <c r="W22" i="8"/>
  <c r="V22" i="8"/>
  <c r="U22" i="8"/>
  <c r="T22" i="8"/>
  <c r="S22" i="8"/>
  <c r="R22" i="8"/>
  <c r="Q22" i="8"/>
  <c r="K22" i="8"/>
  <c r="J22" i="8"/>
  <c r="H22" i="8"/>
  <c r="W21" i="8"/>
  <c r="V21" i="8"/>
  <c r="U21" i="8"/>
  <c r="T21" i="8"/>
  <c r="S21" i="8"/>
  <c r="R21" i="8"/>
  <c r="Q21" i="8"/>
  <c r="K21" i="8"/>
  <c r="J21" i="8"/>
  <c r="H21" i="8"/>
  <c r="W20" i="8"/>
  <c r="V20" i="8"/>
  <c r="U20" i="8"/>
  <c r="T20" i="8"/>
  <c r="S20" i="8"/>
  <c r="R20" i="8"/>
  <c r="Q20" i="8"/>
  <c r="K20" i="8"/>
  <c r="J20" i="8"/>
  <c r="H20" i="8"/>
  <c r="W19" i="8"/>
  <c r="V19" i="8"/>
  <c r="U19" i="8"/>
  <c r="T19" i="8"/>
  <c r="S19" i="8"/>
  <c r="R19" i="8"/>
  <c r="Q19" i="8"/>
  <c r="K19" i="8"/>
  <c r="J19" i="8"/>
  <c r="H19" i="8"/>
  <c r="W18" i="8"/>
  <c r="V18" i="8"/>
  <c r="U18" i="8"/>
  <c r="T18" i="8"/>
  <c r="S18" i="8"/>
  <c r="R18" i="8"/>
  <c r="Q18" i="8"/>
  <c r="K18" i="8"/>
  <c r="J18" i="8"/>
  <c r="H18" i="8"/>
  <c r="W17" i="8"/>
  <c r="V17" i="8"/>
  <c r="U17" i="8"/>
  <c r="T17" i="8"/>
  <c r="S17" i="8"/>
  <c r="P17" i="8"/>
  <c r="O17" i="8"/>
  <c r="M17" i="8"/>
  <c r="K17" i="8"/>
  <c r="J17" i="8"/>
  <c r="G17" i="8"/>
  <c r="F17" i="8"/>
  <c r="D17" i="8"/>
  <c r="W16" i="8"/>
  <c r="V16" i="8"/>
  <c r="U16" i="8"/>
  <c r="T16" i="8"/>
  <c r="S16" i="8"/>
  <c r="R16" i="8"/>
  <c r="Q16" i="8"/>
  <c r="K16" i="8"/>
  <c r="J16" i="8"/>
  <c r="I16" i="8"/>
  <c r="H16" i="8"/>
  <c r="N7" i="8"/>
  <c r="M7" i="8"/>
  <c r="J7" i="8"/>
  <c r="I7" i="8"/>
  <c r="H7" i="8"/>
  <c r="G7" i="8"/>
  <c r="J5" i="8"/>
  <c r="I5" i="8"/>
  <c r="H5" i="8"/>
  <c r="G5" i="8"/>
  <c r="J4" i="8"/>
  <c r="I4" i="8"/>
  <c r="H4" i="8"/>
  <c r="G4" i="8"/>
  <c r="AI29" i="7"/>
  <c r="AH29" i="7"/>
  <c r="AG29" i="7"/>
  <c r="AF29" i="7"/>
  <c r="AE29" i="7"/>
  <c r="AD29" i="7"/>
  <c r="AB29" i="7"/>
  <c r="AA29" i="7"/>
  <c r="Z29" i="7"/>
  <c r="V29" i="7"/>
  <c r="R29" i="7"/>
  <c r="Q29" i="7"/>
  <c r="P29" i="7"/>
  <c r="K29" i="7"/>
  <c r="J29" i="7"/>
  <c r="F29" i="7"/>
  <c r="AI28" i="7"/>
  <c r="AH28" i="7"/>
  <c r="AG28" i="7"/>
  <c r="AF28" i="7"/>
  <c r="AE28" i="7"/>
  <c r="AD28" i="7"/>
  <c r="AB28" i="7"/>
  <c r="AA28" i="7"/>
  <c r="Z28" i="7"/>
  <c r="V28" i="7"/>
  <c r="R28" i="7"/>
  <c r="Q28" i="7"/>
  <c r="P28" i="7"/>
  <c r="K28" i="7"/>
  <c r="J28" i="7"/>
  <c r="F28" i="7"/>
  <c r="AI27" i="7"/>
  <c r="AH27" i="7"/>
  <c r="AG27" i="7"/>
  <c r="AF27" i="7"/>
  <c r="AE27" i="7"/>
  <c r="AD27" i="7"/>
  <c r="AB27" i="7"/>
  <c r="AA27" i="7"/>
  <c r="Z27" i="7"/>
  <c r="V27" i="7"/>
  <c r="R27" i="7"/>
  <c r="Q27" i="7"/>
  <c r="P27" i="7"/>
  <c r="K27" i="7"/>
  <c r="J27" i="7"/>
  <c r="F27" i="7"/>
  <c r="AI26" i="7"/>
  <c r="AH26" i="7"/>
  <c r="AG26" i="7"/>
  <c r="AF26" i="7"/>
  <c r="AE26" i="7"/>
  <c r="AD26" i="7"/>
  <c r="AB26" i="7"/>
  <c r="AA26" i="7"/>
  <c r="Z26" i="7"/>
  <c r="V26" i="7"/>
  <c r="R26" i="7"/>
  <c r="Q26" i="7"/>
  <c r="P26" i="7"/>
  <c r="K26" i="7"/>
  <c r="J26" i="7"/>
  <c r="F26" i="7"/>
  <c r="AI25" i="7"/>
  <c r="AH25" i="7"/>
  <c r="AG25" i="7"/>
  <c r="AF25" i="7"/>
  <c r="AE25" i="7"/>
  <c r="AD25" i="7"/>
  <c r="AB25" i="7"/>
  <c r="AA25" i="7"/>
  <c r="Z25" i="7"/>
  <c r="V25" i="7"/>
  <c r="R25" i="7"/>
  <c r="Q25" i="7"/>
  <c r="P25" i="7"/>
  <c r="K25" i="7"/>
  <c r="J25" i="7"/>
  <c r="F25" i="7"/>
  <c r="AI24" i="7"/>
  <c r="AH24" i="7"/>
  <c r="AG24" i="7"/>
  <c r="AF24" i="7"/>
  <c r="AE24" i="7"/>
  <c r="AD24" i="7"/>
  <c r="AB24" i="7"/>
  <c r="AA24" i="7"/>
  <c r="Z24" i="7"/>
  <c r="V24" i="7"/>
  <c r="R24" i="7"/>
  <c r="Q24" i="7"/>
  <c r="P24" i="7"/>
  <c r="K24" i="7"/>
  <c r="J24" i="7"/>
  <c r="F24" i="7"/>
  <c r="AI23" i="7"/>
  <c r="AH23" i="7"/>
  <c r="AG23" i="7"/>
  <c r="AF23" i="7"/>
  <c r="AE23" i="7"/>
  <c r="AD23" i="7"/>
  <c r="AB23" i="7"/>
  <c r="AA23" i="7"/>
  <c r="Z23" i="7"/>
  <c r="V23" i="7"/>
  <c r="R23" i="7"/>
  <c r="Q23" i="7"/>
  <c r="P23" i="7"/>
  <c r="K23" i="7"/>
  <c r="J23" i="7"/>
  <c r="F23" i="7"/>
  <c r="AI22" i="7"/>
  <c r="AH22" i="7"/>
  <c r="AG22" i="7"/>
  <c r="AF22" i="7"/>
  <c r="AE22" i="7"/>
  <c r="AD22" i="7"/>
  <c r="AB22" i="7"/>
  <c r="AA22" i="7"/>
  <c r="Z22" i="7"/>
  <c r="V22" i="7"/>
  <c r="R22" i="7"/>
  <c r="Q22" i="7"/>
  <c r="P22" i="7"/>
  <c r="K22" i="7"/>
  <c r="J22" i="7"/>
  <c r="F22" i="7"/>
  <c r="AI21" i="7"/>
  <c r="AH21" i="7"/>
  <c r="AG21" i="7"/>
  <c r="AF21" i="7"/>
  <c r="AE21" i="7"/>
  <c r="AD21" i="7"/>
  <c r="AB21" i="7"/>
  <c r="AA21" i="7"/>
  <c r="Z21" i="7"/>
  <c r="V21" i="7"/>
  <c r="R21" i="7"/>
  <c r="Q21" i="7"/>
  <c r="P21" i="7"/>
  <c r="K21" i="7"/>
  <c r="J21" i="7"/>
  <c r="F21" i="7"/>
  <c r="AI20" i="7"/>
  <c r="AH20" i="7"/>
  <c r="AG20" i="7"/>
  <c r="AF20" i="7"/>
  <c r="AE20" i="7"/>
  <c r="AD20" i="7"/>
  <c r="AB20" i="7"/>
  <c r="AA20" i="7"/>
  <c r="Z20" i="7"/>
  <c r="V20" i="7"/>
  <c r="R20" i="7"/>
  <c r="Q20" i="7"/>
  <c r="P20" i="7"/>
  <c r="K20" i="7"/>
  <c r="J20" i="7"/>
  <c r="F20" i="7"/>
  <c r="AI19" i="7"/>
  <c r="AH19" i="7"/>
  <c r="AG19" i="7"/>
  <c r="AF19" i="7"/>
  <c r="AE19" i="7"/>
  <c r="AD19" i="7"/>
  <c r="X19" i="7"/>
  <c r="T19" i="7"/>
  <c r="R19" i="7"/>
  <c r="Q19" i="7"/>
  <c r="P19" i="7"/>
  <c r="H19" i="7"/>
  <c r="D19" i="7"/>
  <c r="AI18" i="7"/>
  <c r="AH18" i="7"/>
  <c r="AG18" i="7"/>
  <c r="AF18" i="7"/>
  <c r="AE18" i="7"/>
  <c r="AD18" i="7"/>
  <c r="AB18" i="7"/>
  <c r="AA18" i="7"/>
  <c r="Z18" i="7"/>
  <c r="V18" i="7"/>
  <c r="R18" i="7"/>
  <c r="Q18" i="7"/>
  <c r="P18" i="7"/>
  <c r="K18" i="7"/>
  <c r="J18" i="7"/>
  <c r="F18" i="7"/>
  <c r="O7" i="7"/>
  <c r="N7" i="7"/>
  <c r="J7" i="7"/>
  <c r="I7" i="7"/>
  <c r="H7" i="7"/>
  <c r="G7" i="7"/>
  <c r="J5" i="7"/>
  <c r="I5" i="7"/>
  <c r="H5" i="7"/>
  <c r="G5" i="7"/>
  <c r="J4" i="7"/>
  <c r="I4" i="7"/>
  <c r="H4" i="7"/>
  <c r="G4" i="7"/>
  <c r="BB34" i="5"/>
  <c r="BA34" i="5"/>
  <c r="AK34" i="5"/>
  <c r="AY34" i="5"/>
  <c r="AX34" i="5"/>
  <c r="AW34" i="5"/>
  <c r="AV34" i="5"/>
  <c r="AU34" i="5"/>
  <c r="W34" i="5"/>
  <c r="AS34" i="5"/>
  <c r="AR34" i="5"/>
  <c r="AQ34" i="5"/>
  <c r="AG34" i="5"/>
  <c r="AF34" i="5"/>
  <c r="AE34" i="5"/>
  <c r="AI34" i="5" s="1"/>
  <c r="X34" i="5"/>
  <c r="V34" i="5"/>
  <c r="U34" i="5"/>
  <c r="T34" i="5"/>
  <c r="R34" i="5"/>
  <c r="O34" i="5"/>
  <c r="J34" i="5"/>
  <c r="I34" i="5"/>
  <c r="H34" i="5"/>
  <c r="BB33" i="5"/>
  <c r="BA33" i="5"/>
  <c r="AK33" i="5"/>
  <c r="AY33" i="5"/>
  <c r="AX33" i="5"/>
  <c r="AW33" i="5"/>
  <c r="AV33" i="5"/>
  <c r="AU33" i="5"/>
  <c r="W33" i="5"/>
  <c r="AS33" i="5"/>
  <c r="AR33" i="5"/>
  <c r="AQ33" i="5"/>
  <c r="AG33" i="5"/>
  <c r="AF33" i="5"/>
  <c r="AE33" i="5"/>
  <c r="AI33" i="5" s="1"/>
  <c r="X33" i="5"/>
  <c r="V33" i="5"/>
  <c r="U33" i="5"/>
  <c r="T33" i="5"/>
  <c r="R33" i="5"/>
  <c r="O33" i="5"/>
  <c r="J33" i="5"/>
  <c r="I33" i="5"/>
  <c r="H33" i="5"/>
  <c r="BB32" i="5"/>
  <c r="BA32" i="5"/>
  <c r="AK32" i="5"/>
  <c r="AY32" i="5"/>
  <c r="AX32" i="5"/>
  <c r="AW32" i="5"/>
  <c r="AV32" i="5"/>
  <c r="AU32" i="5"/>
  <c r="W32" i="5"/>
  <c r="AS32" i="5"/>
  <c r="AR32" i="5"/>
  <c r="AQ32" i="5"/>
  <c r="AI32" i="5"/>
  <c r="AL32" i="5" s="1"/>
  <c r="AM32" i="5" s="1"/>
  <c r="AG32" i="5"/>
  <c r="AF32" i="5"/>
  <c r="AE32" i="5"/>
  <c r="X32" i="5"/>
  <c r="V32" i="5"/>
  <c r="U32" i="5"/>
  <c r="T32" i="5"/>
  <c r="R32" i="5"/>
  <c r="O32" i="5"/>
  <c r="J32" i="5"/>
  <c r="I32" i="5"/>
  <c r="H32" i="5"/>
  <c r="BB31" i="5"/>
  <c r="BA31" i="5"/>
  <c r="AK31" i="5"/>
  <c r="AY31" i="5"/>
  <c r="AX31" i="5"/>
  <c r="AW31" i="5"/>
  <c r="AV31" i="5"/>
  <c r="AU31" i="5"/>
  <c r="W31" i="5"/>
  <c r="AS31" i="5"/>
  <c r="AR31" i="5"/>
  <c r="AQ31" i="5"/>
  <c r="AG31" i="5"/>
  <c r="AF31" i="5"/>
  <c r="AE31" i="5"/>
  <c r="AI31" i="5" s="1"/>
  <c r="X31" i="5"/>
  <c r="V31" i="5"/>
  <c r="U31" i="5"/>
  <c r="T31" i="5"/>
  <c r="R31" i="5"/>
  <c r="O31" i="5"/>
  <c r="J31" i="5"/>
  <c r="I31" i="5"/>
  <c r="H31" i="5"/>
  <c r="BB30" i="5"/>
  <c r="BA30" i="5"/>
  <c r="AK30" i="5"/>
  <c r="AY30" i="5"/>
  <c r="AX30" i="5"/>
  <c r="AW30" i="5"/>
  <c r="AV30" i="5"/>
  <c r="AU30" i="5"/>
  <c r="W30" i="5"/>
  <c r="AS30" i="5"/>
  <c r="AR30" i="5"/>
  <c r="AQ30" i="5"/>
  <c r="AG30" i="5"/>
  <c r="AF30" i="5"/>
  <c r="AE30" i="5"/>
  <c r="AI30" i="5" s="1"/>
  <c r="AL30" i="5" s="1"/>
  <c r="AM30" i="5" s="1"/>
  <c r="X30" i="5"/>
  <c r="V30" i="5"/>
  <c r="U30" i="5"/>
  <c r="T30" i="5"/>
  <c r="R30" i="5"/>
  <c r="O30" i="5"/>
  <c r="J30" i="5"/>
  <c r="I30" i="5"/>
  <c r="H30" i="5"/>
  <c r="BB29" i="5"/>
  <c r="BA29" i="5"/>
  <c r="AK29" i="5"/>
  <c r="AY29" i="5"/>
  <c r="AX29" i="5"/>
  <c r="AW29" i="5"/>
  <c r="AV29" i="5"/>
  <c r="AU29" i="5"/>
  <c r="W29" i="5"/>
  <c r="AS29" i="5"/>
  <c r="AR29" i="5"/>
  <c r="AQ29" i="5"/>
  <c r="AI29" i="5"/>
  <c r="AL29" i="5" s="1"/>
  <c r="AM29" i="5" s="1"/>
  <c r="AG29" i="5"/>
  <c r="AF29" i="5"/>
  <c r="AE29" i="5"/>
  <c r="X29" i="5"/>
  <c r="V29" i="5"/>
  <c r="U29" i="5"/>
  <c r="T29" i="5"/>
  <c r="R29" i="5"/>
  <c r="O29" i="5"/>
  <c r="J29" i="5"/>
  <c r="I29" i="5"/>
  <c r="H29" i="5"/>
  <c r="BB28" i="5"/>
  <c r="BA28" i="5"/>
  <c r="AK28" i="5"/>
  <c r="AY28" i="5"/>
  <c r="AX28" i="5"/>
  <c r="AW28" i="5"/>
  <c r="AV28" i="5"/>
  <c r="AU28" i="5"/>
  <c r="W28" i="5"/>
  <c r="AS28" i="5"/>
  <c r="AR28" i="5"/>
  <c r="AQ28" i="5"/>
  <c r="AG28" i="5"/>
  <c r="AF28" i="5"/>
  <c r="AE28" i="5"/>
  <c r="AI28" i="5" s="1"/>
  <c r="X28" i="5"/>
  <c r="V28" i="5"/>
  <c r="U28" i="5"/>
  <c r="T28" i="5"/>
  <c r="R28" i="5"/>
  <c r="O28" i="5"/>
  <c r="J28" i="5"/>
  <c r="I28" i="5"/>
  <c r="H28" i="5"/>
  <c r="BB27" i="5"/>
  <c r="BA27" i="5"/>
  <c r="AK27" i="5"/>
  <c r="AY27" i="5"/>
  <c r="AX27" i="5"/>
  <c r="AW27" i="5"/>
  <c r="AV27" i="5"/>
  <c r="AU27" i="5"/>
  <c r="W27" i="5"/>
  <c r="AS27" i="5"/>
  <c r="AR27" i="5"/>
  <c r="AQ27" i="5"/>
  <c r="AG27" i="5"/>
  <c r="AF27" i="5"/>
  <c r="AE27" i="5"/>
  <c r="AI27" i="5" s="1"/>
  <c r="X27" i="5"/>
  <c r="V27" i="5"/>
  <c r="U27" i="5"/>
  <c r="T27" i="5"/>
  <c r="R27" i="5"/>
  <c r="O27" i="5"/>
  <c r="J27" i="5"/>
  <c r="I27" i="5"/>
  <c r="H27" i="5"/>
  <c r="BB26" i="5"/>
  <c r="BA26" i="5"/>
  <c r="AK26" i="5"/>
  <c r="AY26" i="5"/>
  <c r="AX26" i="5"/>
  <c r="AW26" i="5"/>
  <c r="AV26" i="5"/>
  <c r="AU26" i="5"/>
  <c r="W26" i="5"/>
  <c r="AS26" i="5"/>
  <c r="AR26" i="5"/>
  <c r="AQ26" i="5"/>
  <c r="AI26" i="5"/>
  <c r="AL26" i="5" s="1"/>
  <c r="AM26" i="5" s="1"/>
  <c r="AG26" i="5"/>
  <c r="AF26" i="5"/>
  <c r="AE26" i="5"/>
  <c r="X26" i="5"/>
  <c r="V26" i="5"/>
  <c r="U26" i="5"/>
  <c r="T26" i="5"/>
  <c r="R26" i="5"/>
  <c r="O26" i="5"/>
  <c r="J26" i="5"/>
  <c r="I26" i="5"/>
  <c r="H26" i="5"/>
  <c r="BB25" i="5"/>
  <c r="BA25" i="5"/>
  <c r="AK25" i="5"/>
  <c r="AY25" i="5"/>
  <c r="AX25" i="5"/>
  <c r="AW25" i="5"/>
  <c r="AV25" i="5"/>
  <c r="AU25" i="5"/>
  <c r="W25" i="5"/>
  <c r="AS25" i="5"/>
  <c r="AR25" i="5"/>
  <c r="AQ25" i="5"/>
  <c r="AI25" i="5"/>
  <c r="AL25" i="5" s="1"/>
  <c r="AM25" i="5" s="1"/>
  <c r="AG25" i="5"/>
  <c r="AF25" i="5"/>
  <c r="AE25" i="5"/>
  <c r="X25" i="5"/>
  <c r="V25" i="5"/>
  <c r="U25" i="5"/>
  <c r="T25" i="5"/>
  <c r="R25" i="5"/>
  <c r="O25" i="5"/>
  <c r="J25" i="5"/>
  <c r="I25" i="5"/>
  <c r="H25" i="5"/>
  <c r="BB24" i="5"/>
  <c r="BA24" i="5"/>
  <c r="AK24" i="5"/>
  <c r="AY24" i="5"/>
  <c r="AX24" i="5"/>
  <c r="AW24" i="5"/>
  <c r="AV24" i="5"/>
  <c r="AU24" i="5"/>
  <c r="W24" i="5"/>
  <c r="AS24" i="5"/>
  <c r="AR24" i="5"/>
  <c r="AQ24" i="5"/>
  <c r="AG24" i="5"/>
  <c r="AF24" i="5"/>
  <c r="AE24" i="5"/>
  <c r="AI24" i="5" s="1"/>
  <c r="AL24" i="5" s="1"/>
  <c r="AM24" i="5" s="1"/>
  <c r="X24" i="5"/>
  <c r="V24" i="5"/>
  <c r="U24" i="5"/>
  <c r="T24" i="5"/>
  <c r="R24" i="5"/>
  <c r="O24" i="5"/>
  <c r="J24" i="5"/>
  <c r="I24" i="5"/>
  <c r="H24" i="5"/>
  <c r="BB23" i="5"/>
  <c r="BA23" i="5"/>
  <c r="AK23" i="5"/>
  <c r="AY23" i="5"/>
  <c r="AX23" i="5"/>
  <c r="AW23" i="5"/>
  <c r="AV23" i="5"/>
  <c r="AU23" i="5"/>
  <c r="W23" i="5"/>
  <c r="AS23" i="5"/>
  <c r="AR23" i="5"/>
  <c r="AQ23" i="5"/>
  <c r="AG23" i="5"/>
  <c r="AF23" i="5"/>
  <c r="AE23" i="5"/>
  <c r="AI23" i="5" s="1"/>
  <c r="X23" i="5"/>
  <c r="V23" i="5"/>
  <c r="U23" i="5"/>
  <c r="T23" i="5"/>
  <c r="R23" i="5"/>
  <c r="O23" i="5"/>
  <c r="J23" i="5"/>
  <c r="I23" i="5"/>
  <c r="H23" i="5"/>
  <c r="BB22" i="5"/>
  <c r="BA22" i="5"/>
  <c r="AK22" i="5"/>
  <c r="AY22" i="5"/>
  <c r="AX22" i="5"/>
  <c r="AW22" i="5"/>
  <c r="AV22" i="5"/>
  <c r="AU22" i="5"/>
  <c r="W22" i="5"/>
  <c r="AS22" i="5"/>
  <c r="AR22" i="5"/>
  <c r="AQ22" i="5"/>
  <c r="AG22" i="5"/>
  <c r="AF22" i="5"/>
  <c r="AE22" i="5"/>
  <c r="AI22" i="5" s="1"/>
  <c r="X22" i="5"/>
  <c r="V22" i="5"/>
  <c r="U22" i="5"/>
  <c r="T22" i="5"/>
  <c r="R22" i="5"/>
  <c r="O22" i="5"/>
  <c r="J22" i="5"/>
  <c r="I22" i="5"/>
  <c r="H22" i="5"/>
  <c r="BB21" i="5"/>
  <c r="BA21" i="5"/>
  <c r="AK21" i="5"/>
  <c r="AY21" i="5"/>
  <c r="AX21" i="5"/>
  <c r="AW21" i="5"/>
  <c r="AV21" i="5"/>
  <c r="AU21" i="5"/>
  <c r="W21" i="5"/>
  <c r="AS21" i="5"/>
  <c r="O21" i="5" s="1"/>
  <c r="AR21" i="5"/>
  <c r="AQ21" i="5"/>
  <c r="AF21" i="5"/>
  <c r="AE21" i="5"/>
  <c r="T21" i="5"/>
  <c r="R21" i="5"/>
  <c r="AG21" i="5" s="1"/>
  <c r="J21" i="5"/>
  <c r="I21" i="5"/>
  <c r="BA20" i="5"/>
  <c r="AE20" i="5" s="1"/>
  <c r="AK20" i="5"/>
  <c r="AY20" i="5"/>
  <c r="AF20" i="5" s="1"/>
  <c r="AX20" i="5"/>
  <c r="AW20" i="5"/>
  <c r="AU20" i="5"/>
  <c r="AV20" i="5" s="1"/>
  <c r="W20" i="5"/>
  <c r="AS20" i="5"/>
  <c r="O20" i="5" s="1"/>
  <c r="AR20" i="5"/>
  <c r="AQ20" i="5"/>
  <c r="T20" i="5"/>
  <c r="T19" i="5" s="1"/>
  <c r="R20" i="5"/>
  <c r="AG20" i="5" s="1"/>
  <c r="J20" i="5"/>
  <c r="I20" i="5"/>
  <c r="H20" i="5"/>
  <c r="Z19" i="5"/>
  <c r="U19" i="5"/>
  <c r="F19" i="5"/>
  <c r="BB18" i="5"/>
  <c r="BA18" i="5"/>
  <c r="AZ18" i="5"/>
  <c r="AY18" i="5"/>
  <c r="AX18" i="5"/>
  <c r="AW18" i="5"/>
  <c r="AV18" i="5"/>
  <c r="AU18" i="5"/>
  <c r="AT18" i="5"/>
  <c r="AS18" i="5"/>
  <c r="AR18" i="5"/>
  <c r="AL18" i="5"/>
  <c r="AM18" i="5" s="1"/>
  <c r="AJ18" i="5"/>
  <c r="AI18" i="5"/>
  <c r="AG18" i="5"/>
  <c r="AF18" i="5"/>
  <c r="AE18" i="5"/>
  <c r="AD18" i="5"/>
  <c r="X18" i="5"/>
  <c r="V18" i="5"/>
  <c r="AN18" i="5" s="1"/>
  <c r="U18" i="5"/>
  <c r="T18" i="5"/>
  <c r="R18" i="5"/>
  <c r="O18" i="5"/>
  <c r="M18" i="5"/>
  <c r="J18" i="5"/>
  <c r="I18" i="5"/>
  <c r="H18" i="5"/>
  <c r="AI17" i="5"/>
  <c r="AE17" i="5"/>
  <c r="U17" i="5"/>
  <c r="N17" i="5"/>
  <c r="R9" i="5"/>
  <c r="Q9" i="5"/>
  <c r="P9" i="5"/>
  <c r="O9" i="5"/>
  <c r="AH42" i="15"/>
  <c r="AG42" i="15"/>
  <c r="AF42" i="15"/>
  <c r="AE42" i="15"/>
  <c r="AD42" i="15"/>
  <c r="AC42" i="15"/>
  <c r="AB42" i="15"/>
  <c r="U42" i="15"/>
  <c r="T42" i="15"/>
  <c r="S42" i="15"/>
  <c r="R42" i="15"/>
  <c r="L42" i="15"/>
  <c r="F42" i="15"/>
  <c r="AH41" i="15"/>
  <c r="AG41" i="15"/>
  <c r="AF41" i="15"/>
  <c r="AE41" i="15"/>
  <c r="AD41" i="15"/>
  <c r="AC41" i="15"/>
  <c r="AB41" i="15"/>
  <c r="U41" i="15"/>
  <c r="T41" i="15"/>
  <c r="S41" i="15"/>
  <c r="R41" i="15"/>
  <c r="L41" i="15"/>
  <c r="F41" i="15"/>
  <c r="AH40" i="15"/>
  <c r="AG40" i="15"/>
  <c r="AF40" i="15"/>
  <c r="AE40" i="15"/>
  <c r="AD40" i="15"/>
  <c r="AC40" i="15"/>
  <c r="AB40" i="15"/>
  <c r="U40" i="15"/>
  <c r="T40" i="15"/>
  <c r="S40" i="15"/>
  <c r="R40" i="15"/>
  <c r="L40" i="15"/>
  <c r="F40" i="15"/>
  <c r="AH39" i="15"/>
  <c r="AG39" i="15"/>
  <c r="AF39" i="15"/>
  <c r="AE39" i="15"/>
  <c r="AD39" i="15"/>
  <c r="AC39" i="15"/>
  <c r="AB39" i="15"/>
  <c r="U39" i="15"/>
  <c r="T39" i="15"/>
  <c r="S39" i="15"/>
  <c r="R39" i="15"/>
  <c r="L39" i="15"/>
  <c r="F39" i="15"/>
  <c r="AH38" i="15"/>
  <c r="AG38" i="15"/>
  <c r="AF38" i="15"/>
  <c r="AE38" i="15"/>
  <c r="AD38" i="15"/>
  <c r="AC38" i="15"/>
  <c r="AB38" i="15"/>
  <c r="U38" i="15"/>
  <c r="T38" i="15"/>
  <c r="S38" i="15"/>
  <c r="R38" i="15"/>
  <c r="L38" i="15"/>
  <c r="F38" i="15"/>
  <c r="AH37" i="15"/>
  <c r="AG37" i="15"/>
  <c r="AF37" i="15"/>
  <c r="AE37" i="15"/>
  <c r="AD37" i="15"/>
  <c r="AC37" i="15"/>
  <c r="AB37" i="15"/>
  <c r="U37" i="15"/>
  <c r="T37" i="15"/>
  <c r="S37" i="15"/>
  <c r="R37" i="15"/>
  <c r="L37" i="15"/>
  <c r="F37" i="15"/>
  <c r="AH36" i="15"/>
  <c r="AG36" i="15"/>
  <c r="AF36" i="15"/>
  <c r="AE36" i="15"/>
  <c r="AD36" i="15"/>
  <c r="AC36" i="15"/>
  <c r="AB36" i="15"/>
  <c r="U36" i="15"/>
  <c r="T36" i="15"/>
  <c r="S36" i="15"/>
  <c r="R36" i="15"/>
  <c r="L36" i="15"/>
  <c r="F36" i="15"/>
  <c r="AH35" i="15"/>
  <c r="AG35" i="15"/>
  <c r="AF35" i="15"/>
  <c r="AE35" i="15"/>
  <c r="AD35" i="15"/>
  <c r="AC35" i="15"/>
  <c r="AB35" i="15"/>
  <c r="U35" i="15"/>
  <c r="T35" i="15"/>
  <c r="S35" i="15"/>
  <c r="R35" i="15"/>
  <c r="L35" i="15"/>
  <c r="F35" i="15"/>
  <c r="AH34" i="15"/>
  <c r="AG34" i="15"/>
  <c r="AF34" i="15"/>
  <c r="AE34" i="15"/>
  <c r="AD34" i="15"/>
  <c r="AC34" i="15"/>
  <c r="AB34" i="15"/>
  <c r="U34" i="15"/>
  <c r="T34" i="15"/>
  <c r="S34" i="15"/>
  <c r="R34" i="15"/>
  <c r="L34" i="15"/>
  <c r="F34" i="15"/>
  <c r="AH33" i="15"/>
  <c r="AG33" i="15"/>
  <c r="AF33" i="15"/>
  <c r="AE33" i="15"/>
  <c r="AD33" i="15"/>
  <c r="AC33" i="15"/>
  <c r="AB33" i="15"/>
  <c r="U33" i="15"/>
  <c r="T33" i="15"/>
  <c r="S33" i="15"/>
  <c r="R33" i="15"/>
  <c r="L33" i="15"/>
  <c r="F33" i="15"/>
  <c r="AH32" i="15"/>
  <c r="AG32" i="15"/>
  <c r="AF32" i="15"/>
  <c r="AE32" i="15"/>
  <c r="AD32" i="15"/>
  <c r="AC32" i="15"/>
  <c r="AB32" i="15"/>
  <c r="U32" i="15"/>
  <c r="T32" i="15"/>
  <c r="S32" i="15"/>
  <c r="R32" i="15"/>
  <c r="L32" i="15"/>
  <c r="F32" i="15"/>
  <c r="AH31" i="15"/>
  <c r="AG31" i="15"/>
  <c r="AF31" i="15"/>
  <c r="AE31" i="15"/>
  <c r="AD31" i="15"/>
  <c r="AC31" i="15"/>
  <c r="AB31" i="15"/>
  <c r="U31" i="15"/>
  <c r="T31" i="15"/>
  <c r="S31" i="15"/>
  <c r="R31" i="15"/>
  <c r="L31" i="15"/>
  <c r="F31" i="15"/>
  <c r="AH30" i="15"/>
  <c r="AG30" i="15"/>
  <c r="AF30" i="15"/>
  <c r="AE30" i="15"/>
  <c r="AD30" i="15"/>
  <c r="AC30" i="15"/>
  <c r="AB30" i="15"/>
  <c r="U30" i="15"/>
  <c r="T30" i="15"/>
  <c r="S30" i="15"/>
  <c r="R30" i="15"/>
  <c r="L30" i="15"/>
  <c r="F30" i="15"/>
  <c r="AH29" i="15"/>
  <c r="AG29" i="15"/>
  <c r="AF29" i="15"/>
  <c r="AE29" i="15"/>
  <c r="AD29" i="15"/>
  <c r="AC29" i="15"/>
  <c r="AB29" i="15"/>
  <c r="U29" i="15"/>
  <c r="T29" i="15"/>
  <c r="S29" i="15"/>
  <c r="R29" i="15"/>
  <c r="L29" i="15"/>
  <c r="F29" i="15"/>
  <c r="AH28" i="15"/>
  <c r="AG28" i="15"/>
  <c r="AF28" i="15"/>
  <c r="AE28" i="15"/>
  <c r="AD28" i="15"/>
  <c r="AC28" i="15"/>
  <c r="AB28" i="15"/>
  <c r="U28" i="15"/>
  <c r="T28" i="15"/>
  <c r="S28" i="15"/>
  <c r="R28" i="15"/>
  <c r="L28" i="15"/>
  <c r="F28" i="15"/>
  <c r="AH27" i="15"/>
  <c r="AG27" i="15"/>
  <c r="AF27" i="15"/>
  <c r="AE27" i="15"/>
  <c r="AD27" i="15"/>
  <c r="AC27" i="15"/>
  <c r="AB27" i="15"/>
  <c r="U27" i="15"/>
  <c r="T27" i="15"/>
  <c r="S27" i="15"/>
  <c r="R27" i="15"/>
  <c r="L27" i="15"/>
  <c r="F27" i="15"/>
  <c r="AH26" i="15"/>
  <c r="AG26" i="15"/>
  <c r="AF26" i="15"/>
  <c r="AE26" i="15"/>
  <c r="AD26" i="15"/>
  <c r="AC26" i="15"/>
  <c r="AB26" i="15"/>
  <c r="U26" i="15"/>
  <c r="T26" i="15"/>
  <c r="S26" i="15"/>
  <c r="R26" i="15"/>
  <c r="L26" i="15"/>
  <c r="F26" i="15"/>
  <c r="AH25" i="15"/>
  <c r="AG25" i="15"/>
  <c r="AF25" i="15"/>
  <c r="AE25" i="15"/>
  <c r="AD25" i="15"/>
  <c r="AC25" i="15"/>
  <c r="AB25" i="15"/>
  <c r="U25" i="15"/>
  <c r="T25" i="15"/>
  <c r="S25" i="15"/>
  <c r="R25" i="15"/>
  <c r="L25" i="15"/>
  <c r="F25" i="15"/>
  <c r="AG24" i="15"/>
  <c r="AF24" i="15"/>
  <c r="AH24" i="15" s="1"/>
  <c r="AC24" i="15"/>
  <c r="AB24" i="15"/>
  <c r="AE24" i="15" s="1"/>
  <c r="R24" i="15"/>
  <c r="L24" i="15"/>
  <c r="T24" i="15" s="1"/>
  <c r="F24" i="15"/>
  <c r="AG23" i="15"/>
  <c r="AF23" i="15"/>
  <c r="AC23" i="15"/>
  <c r="AB23" i="15"/>
  <c r="R23" i="15"/>
  <c r="L23" i="15"/>
  <c r="F23" i="15"/>
  <c r="AC22" i="15"/>
  <c r="AB22" i="15"/>
  <c r="I4" i="15" s="1"/>
  <c r="Y22" i="15"/>
  <c r="X22" i="15"/>
  <c r="W22" i="15"/>
  <c r="O22" i="15"/>
  <c r="N22" i="15"/>
  <c r="M22" i="15"/>
  <c r="P8" i="15" s="1"/>
  <c r="I22" i="15"/>
  <c r="H22" i="15"/>
  <c r="G22" i="15"/>
  <c r="E22" i="15"/>
  <c r="R21" i="15"/>
  <c r="L21" i="15"/>
  <c r="T21" i="15" s="1"/>
  <c r="F21" i="15"/>
  <c r="H10" i="15"/>
  <c r="G10" i="15"/>
  <c r="F10" i="15"/>
  <c r="O8" i="15"/>
  <c r="Y7" i="15"/>
  <c r="Z6" i="15"/>
  <c r="Z5" i="15"/>
  <c r="Z4" i="15"/>
  <c r="AZ42" i="4"/>
  <c r="AY42" i="4"/>
  <c r="AX42" i="4"/>
  <c r="AW42" i="4"/>
  <c r="AS42" i="4"/>
  <c r="AR42" i="4"/>
  <c r="AQ42" i="4"/>
  <c r="AJ42" i="4"/>
  <c r="AI42" i="4"/>
  <c r="AH42" i="4"/>
  <c r="AE42" i="4"/>
  <c r="AA42" i="4"/>
  <c r="U42" i="4"/>
  <c r="T42" i="4"/>
  <c r="S42" i="4"/>
  <c r="R42" i="4"/>
  <c r="L42" i="4"/>
  <c r="F42" i="4"/>
  <c r="AZ41" i="4"/>
  <c r="AY41" i="4"/>
  <c r="AX41" i="4"/>
  <c r="AW41" i="4"/>
  <c r="AS41" i="4"/>
  <c r="AR41" i="4"/>
  <c r="AQ41" i="4"/>
  <c r="AJ41" i="4"/>
  <c r="AI41" i="4"/>
  <c r="AH41" i="4"/>
  <c r="AE41" i="4"/>
  <c r="AA41" i="4"/>
  <c r="U41" i="4"/>
  <c r="T41" i="4"/>
  <c r="S41" i="4"/>
  <c r="R41" i="4"/>
  <c r="L41" i="4"/>
  <c r="F41" i="4"/>
  <c r="AZ40" i="4"/>
  <c r="AY40" i="4"/>
  <c r="AX40" i="4"/>
  <c r="AW40" i="4"/>
  <c r="AS40" i="4"/>
  <c r="AR40" i="4"/>
  <c r="AQ40" i="4"/>
  <c r="AJ40" i="4"/>
  <c r="AI40" i="4"/>
  <c r="AH40" i="4"/>
  <c r="AE40" i="4"/>
  <c r="AA40" i="4"/>
  <c r="U40" i="4"/>
  <c r="T40" i="4"/>
  <c r="S40" i="4"/>
  <c r="R40" i="4"/>
  <c r="L40" i="4"/>
  <c r="F40" i="4"/>
  <c r="AZ39" i="4"/>
  <c r="AY39" i="4"/>
  <c r="AX39" i="4"/>
  <c r="AW39" i="4"/>
  <c r="AS39" i="4"/>
  <c r="AR39" i="4"/>
  <c r="AQ39" i="4"/>
  <c r="AJ39" i="4"/>
  <c r="AI39" i="4"/>
  <c r="AH39" i="4"/>
  <c r="AL39" i="4" s="1"/>
  <c r="AE39" i="4"/>
  <c r="AA39" i="4"/>
  <c r="U39" i="4"/>
  <c r="T39" i="4"/>
  <c r="S39" i="4"/>
  <c r="R39" i="4"/>
  <c r="L39" i="4"/>
  <c r="F39" i="4"/>
  <c r="AZ38" i="4"/>
  <c r="AY38" i="4"/>
  <c r="AX38" i="4"/>
  <c r="AW38" i="4"/>
  <c r="AS38" i="4"/>
  <c r="AR38" i="4"/>
  <c r="AQ38" i="4"/>
  <c r="AJ38" i="4"/>
  <c r="AI38" i="4"/>
  <c r="AH38" i="4"/>
  <c r="AE38" i="4"/>
  <c r="AA38" i="4"/>
  <c r="U38" i="4"/>
  <c r="T38" i="4"/>
  <c r="S38" i="4"/>
  <c r="R38" i="4"/>
  <c r="L38" i="4"/>
  <c r="F38" i="4"/>
  <c r="AZ37" i="4"/>
  <c r="AY37" i="4"/>
  <c r="AX37" i="4"/>
  <c r="AW37" i="4"/>
  <c r="AS37" i="4"/>
  <c r="AR37" i="4"/>
  <c r="AQ37" i="4"/>
  <c r="AJ37" i="4"/>
  <c r="AI37" i="4"/>
  <c r="AH37" i="4"/>
  <c r="AE37" i="4"/>
  <c r="AA37" i="4"/>
  <c r="U37" i="4"/>
  <c r="T37" i="4"/>
  <c r="S37" i="4"/>
  <c r="R37" i="4"/>
  <c r="L37" i="4"/>
  <c r="F37" i="4"/>
  <c r="AZ36" i="4"/>
  <c r="AY36" i="4"/>
  <c r="AX36" i="4"/>
  <c r="AW36" i="4"/>
  <c r="AS36" i="4"/>
  <c r="AR36" i="4"/>
  <c r="AQ36" i="4"/>
  <c r="AJ36" i="4"/>
  <c r="AI36" i="4"/>
  <c r="AH36" i="4"/>
  <c r="AE36" i="4"/>
  <c r="AA36" i="4"/>
  <c r="U36" i="4"/>
  <c r="T36" i="4"/>
  <c r="S36" i="4"/>
  <c r="R36" i="4"/>
  <c r="L36" i="4"/>
  <c r="F36" i="4"/>
  <c r="AZ35" i="4"/>
  <c r="AY35" i="4"/>
  <c r="AX35" i="4"/>
  <c r="AW35" i="4"/>
  <c r="AS35" i="4"/>
  <c r="AR35" i="4"/>
  <c r="AQ35" i="4"/>
  <c r="AJ35" i="4"/>
  <c r="AI35" i="4"/>
  <c r="AH35" i="4"/>
  <c r="AL35" i="4" s="1"/>
  <c r="AE35" i="4"/>
  <c r="AA35" i="4"/>
  <c r="U35" i="4"/>
  <c r="T35" i="4"/>
  <c r="S35" i="4"/>
  <c r="R35" i="4"/>
  <c r="L35" i="4"/>
  <c r="F35" i="4"/>
  <c r="AZ34" i="4"/>
  <c r="AY34" i="4"/>
  <c r="AX34" i="4"/>
  <c r="AW34" i="4"/>
  <c r="AS34" i="4"/>
  <c r="AR34" i="4"/>
  <c r="AQ34" i="4"/>
  <c r="AJ34" i="4"/>
  <c r="AI34" i="4"/>
  <c r="AH34" i="4"/>
  <c r="AE34" i="4"/>
  <c r="AA34" i="4"/>
  <c r="U34" i="4"/>
  <c r="T34" i="4"/>
  <c r="S34" i="4"/>
  <c r="R34" i="4"/>
  <c r="L34" i="4"/>
  <c r="F34" i="4"/>
  <c r="AZ33" i="4"/>
  <c r="AY33" i="4"/>
  <c r="AX33" i="4"/>
  <c r="AW33" i="4"/>
  <c r="AS33" i="4"/>
  <c r="AR33" i="4"/>
  <c r="AQ33" i="4"/>
  <c r="AJ33" i="4"/>
  <c r="AI33" i="4"/>
  <c r="AH33" i="4"/>
  <c r="AE33" i="4"/>
  <c r="AA33" i="4"/>
  <c r="U33" i="4"/>
  <c r="T33" i="4"/>
  <c r="S33" i="4"/>
  <c r="R33" i="4"/>
  <c r="L33" i="4"/>
  <c r="F33" i="4"/>
  <c r="AZ32" i="4"/>
  <c r="AY32" i="4"/>
  <c r="AX32" i="4"/>
  <c r="AW32" i="4"/>
  <c r="AS32" i="4"/>
  <c r="AR32" i="4"/>
  <c r="AQ32" i="4"/>
  <c r="AJ32" i="4"/>
  <c r="AI32" i="4"/>
  <c r="AH32" i="4"/>
  <c r="AL32" i="4" s="1"/>
  <c r="AE32" i="4"/>
  <c r="AA32" i="4"/>
  <c r="U32" i="4"/>
  <c r="T32" i="4"/>
  <c r="S32" i="4"/>
  <c r="R32" i="4"/>
  <c r="L32" i="4"/>
  <c r="F32" i="4"/>
  <c r="AZ31" i="4"/>
  <c r="AY31" i="4"/>
  <c r="AX31" i="4"/>
  <c r="AW31" i="4"/>
  <c r="AS31" i="4"/>
  <c r="AR31" i="4"/>
  <c r="AQ31" i="4"/>
  <c r="AJ31" i="4"/>
  <c r="AI31" i="4"/>
  <c r="AH31" i="4"/>
  <c r="AE31" i="4"/>
  <c r="AA31" i="4"/>
  <c r="U31" i="4"/>
  <c r="T31" i="4"/>
  <c r="S31" i="4"/>
  <c r="R31" i="4"/>
  <c r="L31" i="4"/>
  <c r="F31" i="4"/>
  <c r="AZ30" i="4"/>
  <c r="AY30" i="4"/>
  <c r="AX30" i="4"/>
  <c r="AW30" i="4"/>
  <c r="AS30" i="4"/>
  <c r="AR30" i="4"/>
  <c r="AQ30" i="4"/>
  <c r="AJ30" i="4"/>
  <c r="AI30" i="4"/>
  <c r="AH30" i="4"/>
  <c r="AE30" i="4"/>
  <c r="AA30" i="4"/>
  <c r="U30" i="4"/>
  <c r="T30" i="4"/>
  <c r="S30" i="4"/>
  <c r="R30" i="4"/>
  <c r="L30" i="4"/>
  <c r="F30" i="4"/>
  <c r="AZ29" i="4"/>
  <c r="AY29" i="4"/>
  <c r="AX29" i="4"/>
  <c r="AW29" i="4"/>
  <c r="AS29" i="4"/>
  <c r="AR29" i="4"/>
  <c r="AQ29" i="4"/>
  <c r="AJ29" i="4"/>
  <c r="AI29" i="4"/>
  <c r="AH29" i="4"/>
  <c r="AE29" i="4"/>
  <c r="AA29" i="4"/>
  <c r="U29" i="4"/>
  <c r="T29" i="4"/>
  <c r="S29" i="4"/>
  <c r="R29" i="4"/>
  <c r="L29" i="4"/>
  <c r="F29" i="4"/>
  <c r="AZ28" i="4"/>
  <c r="AY28" i="4"/>
  <c r="AX28" i="4"/>
  <c r="AW28" i="4"/>
  <c r="AS28" i="4"/>
  <c r="AR28" i="4"/>
  <c r="AQ28" i="4"/>
  <c r="AJ28" i="4"/>
  <c r="AI28" i="4"/>
  <c r="AH28" i="4"/>
  <c r="AE28" i="4"/>
  <c r="AA28" i="4"/>
  <c r="U28" i="4"/>
  <c r="T28" i="4"/>
  <c r="S28" i="4"/>
  <c r="R28" i="4"/>
  <c r="L28" i="4"/>
  <c r="F28" i="4"/>
  <c r="AZ27" i="4"/>
  <c r="AY27" i="4"/>
  <c r="AX27" i="4"/>
  <c r="AW27" i="4"/>
  <c r="AS27" i="4"/>
  <c r="AR27" i="4"/>
  <c r="AQ27" i="4"/>
  <c r="AJ27" i="4"/>
  <c r="AI27" i="4"/>
  <c r="AH27" i="4"/>
  <c r="AE27" i="4"/>
  <c r="AA27" i="4"/>
  <c r="U27" i="4"/>
  <c r="T27" i="4"/>
  <c r="S27" i="4"/>
  <c r="R27" i="4"/>
  <c r="L27" i="4"/>
  <c r="F27" i="4"/>
  <c r="AZ26" i="4"/>
  <c r="AY26" i="4"/>
  <c r="AX26" i="4"/>
  <c r="AW26" i="4"/>
  <c r="AS26" i="4"/>
  <c r="AR26" i="4"/>
  <c r="AQ26" i="4"/>
  <c r="AJ26" i="4"/>
  <c r="AI26" i="4"/>
  <c r="AH26" i="4"/>
  <c r="AE26" i="4"/>
  <c r="AA26" i="4"/>
  <c r="U26" i="4"/>
  <c r="T26" i="4"/>
  <c r="S26" i="4"/>
  <c r="R26" i="4"/>
  <c r="L26" i="4"/>
  <c r="F26" i="4"/>
  <c r="AZ25" i="4"/>
  <c r="AY25" i="4"/>
  <c r="AX25" i="4"/>
  <c r="AW25" i="4"/>
  <c r="AS25" i="4"/>
  <c r="AR25" i="4"/>
  <c r="AQ25" i="4"/>
  <c r="AJ25" i="4"/>
  <c r="AI25" i="4"/>
  <c r="AH25" i="4"/>
  <c r="AE25" i="4"/>
  <c r="AA25" i="4"/>
  <c r="U25" i="4"/>
  <c r="S25" i="4"/>
  <c r="R25" i="4"/>
  <c r="L25" i="4"/>
  <c r="F25" i="4"/>
  <c r="AS24" i="4"/>
  <c r="AQ24" i="4"/>
  <c r="AQ22" i="4" s="1"/>
  <c r="AE24" i="4"/>
  <c r="R24" i="4"/>
  <c r="L24" i="4"/>
  <c r="F24" i="4"/>
  <c r="AR24" i="4" s="1"/>
  <c r="AX23" i="4"/>
  <c r="AS23" i="4"/>
  <c r="AS22" i="4" s="1"/>
  <c r="AQ23" i="4"/>
  <c r="AE23" i="4"/>
  <c r="AZ23" i="4" s="1"/>
  <c r="AA23" i="4"/>
  <c r="AW23" i="4" s="1"/>
  <c r="R23" i="4"/>
  <c r="L23" i="4"/>
  <c r="F23" i="4"/>
  <c r="AR23" i="4" s="1"/>
  <c r="AR22" i="4" s="1"/>
  <c r="AD22" i="4"/>
  <c r="AC22" i="4"/>
  <c r="AB22" i="4"/>
  <c r="Z22" i="4"/>
  <c r="Y22" i="4"/>
  <c r="X22" i="4"/>
  <c r="W22" i="4"/>
  <c r="O22" i="4"/>
  <c r="N22" i="4"/>
  <c r="M22" i="4"/>
  <c r="I22" i="4"/>
  <c r="H22" i="4"/>
  <c r="G22" i="4"/>
  <c r="E22" i="4"/>
  <c r="AX21" i="4"/>
  <c r="AW21" i="4"/>
  <c r="AS21" i="4"/>
  <c r="AQ21" i="4"/>
  <c r="AA21" i="4"/>
  <c r="R21" i="4"/>
  <c r="AR21" i="4" s="1"/>
  <c r="L21" i="4"/>
  <c r="AP21" i="4" s="1"/>
  <c r="F21" i="4"/>
  <c r="H10" i="4"/>
  <c r="G10" i="4"/>
  <c r="F10" i="4"/>
  <c r="Y7" i="4"/>
  <c r="Z6" i="4"/>
  <c r="Z5" i="4"/>
  <c r="Z4" i="4"/>
  <c r="AD39" i="13"/>
  <c r="AC39" i="13"/>
  <c r="AA39" i="13"/>
  <c r="Z39" i="13"/>
  <c r="Y39" i="13"/>
  <c r="R39" i="13"/>
  <c r="Q39" i="13"/>
  <c r="P39" i="13"/>
  <c r="K39" i="13"/>
  <c r="F39" i="13"/>
  <c r="AD38" i="13"/>
  <c r="AC38" i="13"/>
  <c r="AA38" i="13"/>
  <c r="Z38" i="13"/>
  <c r="Y38" i="13"/>
  <c r="R38" i="13"/>
  <c r="Q38" i="13"/>
  <c r="P38" i="13"/>
  <c r="K38" i="13"/>
  <c r="F38" i="13"/>
  <c r="AD37" i="13"/>
  <c r="AC37" i="13"/>
  <c r="AA37" i="13"/>
  <c r="Z37" i="13"/>
  <c r="Y37" i="13"/>
  <c r="R37" i="13"/>
  <c r="Q37" i="13"/>
  <c r="P37" i="13"/>
  <c r="K37" i="13"/>
  <c r="F37" i="13"/>
  <c r="AD36" i="13"/>
  <c r="AC36" i="13"/>
  <c r="AA36" i="13"/>
  <c r="Z36" i="13"/>
  <c r="Y36" i="13"/>
  <c r="R36" i="13"/>
  <c r="Q36" i="13"/>
  <c r="P36" i="13"/>
  <c r="K36" i="13"/>
  <c r="F36" i="13"/>
  <c r="AD35" i="13"/>
  <c r="AC35" i="13"/>
  <c r="AA35" i="13"/>
  <c r="Z35" i="13"/>
  <c r="Y35" i="13"/>
  <c r="R35" i="13"/>
  <c r="Q35" i="13"/>
  <c r="P35" i="13"/>
  <c r="K35" i="13"/>
  <c r="F35" i="13"/>
  <c r="AD34" i="13"/>
  <c r="AC34" i="13"/>
  <c r="AA34" i="13"/>
  <c r="Z34" i="13"/>
  <c r="Y34" i="13"/>
  <c r="R34" i="13"/>
  <c r="Q34" i="13"/>
  <c r="P34" i="13"/>
  <c r="K34" i="13"/>
  <c r="F34" i="13"/>
  <c r="AD33" i="13"/>
  <c r="AC33" i="13"/>
  <c r="AA33" i="13"/>
  <c r="Z33" i="13"/>
  <c r="Y33" i="13"/>
  <c r="R33" i="13"/>
  <c r="Q33" i="13"/>
  <c r="P33" i="13"/>
  <c r="K33" i="13"/>
  <c r="F33" i="13"/>
  <c r="AD32" i="13"/>
  <c r="AC32" i="13"/>
  <c r="AA32" i="13"/>
  <c r="Z32" i="13"/>
  <c r="Y32" i="13"/>
  <c r="R32" i="13"/>
  <c r="Q32" i="13"/>
  <c r="P32" i="13"/>
  <c r="K32" i="13"/>
  <c r="F32" i="13"/>
  <c r="AD31" i="13"/>
  <c r="AC31" i="13"/>
  <c r="AA31" i="13"/>
  <c r="Z31" i="13"/>
  <c r="Y31" i="13"/>
  <c r="R31" i="13"/>
  <c r="Q31" i="13"/>
  <c r="P31" i="13"/>
  <c r="K31" i="13"/>
  <c r="F31" i="13"/>
  <c r="AD30" i="13"/>
  <c r="AC30" i="13"/>
  <c r="AA30" i="13"/>
  <c r="Z30" i="13"/>
  <c r="Y30" i="13"/>
  <c r="R30" i="13"/>
  <c r="Q30" i="13"/>
  <c r="P30" i="13"/>
  <c r="K30" i="13"/>
  <c r="F30" i="13"/>
  <c r="AD29" i="13"/>
  <c r="AC29" i="13"/>
  <c r="AA29" i="13"/>
  <c r="Z29" i="13"/>
  <c r="Y29" i="13"/>
  <c r="R29" i="13"/>
  <c r="Q29" i="13"/>
  <c r="P29" i="13"/>
  <c r="K29" i="13"/>
  <c r="F29" i="13"/>
  <c r="AD28" i="13"/>
  <c r="AC28" i="13"/>
  <c r="AA28" i="13"/>
  <c r="Z28" i="13"/>
  <c r="Y28" i="13"/>
  <c r="R28" i="13"/>
  <c r="Q28" i="13"/>
  <c r="P28" i="13"/>
  <c r="K28" i="13"/>
  <c r="F28" i="13"/>
  <c r="AD27" i="13"/>
  <c r="AC27" i="13"/>
  <c r="AA27" i="13"/>
  <c r="Z27" i="13"/>
  <c r="Y27" i="13"/>
  <c r="R27" i="13"/>
  <c r="Q27" i="13"/>
  <c r="P27" i="13"/>
  <c r="K27" i="13"/>
  <c r="F27" i="13"/>
  <c r="AD26" i="13"/>
  <c r="AC26" i="13"/>
  <c r="AA26" i="13"/>
  <c r="Z26" i="13"/>
  <c r="Y26" i="13"/>
  <c r="R26" i="13"/>
  <c r="Q26" i="13"/>
  <c r="P26" i="13"/>
  <c r="K26" i="13"/>
  <c r="F26" i="13"/>
  <c r="AD25" i="13"/>
  <c r="AC25" i="13"/>
  <c r="AA25" i="13"/>
  <c r="Z25" i="13"/>
  <c r="Y25" i="13"/>
  <c r="R25" i="13"/>
  <c r="Q25" i="13"/>
  <c r="P25" i="13"/>
  <c r="K25" i="13"/>
  <c r="F25" i="13"/>
  <c r="AD24" i="13"/>
  <c r="AC24" i="13"/>
  <c r="AA24" i="13"/>
  <c r="Z24" i="13"/>
  <c r="Y24" i="13"/>
  <c r="R24" i="13"/>
  <c r="Q24" i="13"/>
  <c r="P24" i="13"/>
  <c r="K24" i="13"/>
  <c r="F24" i="13"/>
  <c r="AD23" i="13"/>
  <c r="AC23" i="13"/>
  <c r="AA23" i="13"/>
  <c r="Z23" i="13"/>
  <c r="Y23" i="13"/>
  <c r="R23" i="13"/>
  <c r="Q23" i="13"/>
  <c r="P23" i="13"/>
  <c r="K23" i="13"/>
  <c r="F23" i="13"/>
  <c r="AD22" i="13"/>
  <c r="AC22" i="13"/>
  <c r="AA22" i="13"/>
  <c r="Z22" i="13"/>
  <c r="Y22" i="13"/>
  <c r="R22" i="13"/>
  <c r="Q22" i="13"/>
  <c r="P22" i="13"/>
  <c r="K22" i="13"/>
  <c r="F22" i="13"/>
  <c r="AD21" i="13"/>
  <c r="AC21" i="13"/>
  <c r="AA21" i="13"/>
  <c r="Z21" i="13"/>
  <c r="Y21" i="13"/>
  <c r="R21" i="13"/>
  <c r="Q21" i="13"/>
  <c r="P21" i="13"/>
  <c r="K21" i="13"/>
  <c r="F21" i="13"/>
  <c r="AD20" i="13"/>
  <c r="AC20" i="13"/>
  <c r="AA20" i="13"/>
  <c r="Z20" i="13"/>
  <c r="Y20" i="13"/>
  <c r="R20" i="13"/>
  <c r="Q20" i="13"/>
  <c r="P20" i="13"/>
  <c r="K20" i="13"/>
  <c r="F20" i="13"/>
  <c r="AD19" i="13"/>
  <c r="AC19" i="13"/>
  <c r="AA19" i="13"/>
  <c r="Z19" i="13"/>
  <c r="Y19" i="13"/>
  <c r="V19" i="13"/>
  <c r="U19" i="13"/>
  <c r="T19" i="13"/>
  <c r="R19" i="13"/>
  <c r="Q19" i="13"/>
  <c r="M19" i="13"/>
  <c r="L19" i="13"/>
  <c r="H19" i="13"/>
  <c r="G19" i="13"/>
  <c r="E19" i="13"/>
  <c r="AC18" i="13"/>
  <c r="AD18" i="13" s="1"/>
  <c r="AA18" i="13"/>
  <c r="Y18" i="13"/>
  <c r="Z18" i="13" s="1"/>
  <c r="Q18" i="13"/>
  <c r="R18" i="13" s="1"/>
  <c r="P18" i="13"/>
  <c r="K18" i="13"/>
  <c r="F18" i="13"/>
  <c r="P8" i="13"/>
  <c r="O8" i="13"/>
  <c r="Q7" i="13"/>
  <c r="J7" i="13"/>
  <c r="I7" i="13"/>
  <c r="H7" i="13"/>
  <c r="G7" i="13"/>
  <c r="J5" i="13"/>
  <c r="I5" i="13"/>
  <c r="H5" i="13"/>
  <c r="G5" i="13"/>
  <c r="J4" i="13"/>
  <c r="I4" i="13"/>
  <c r="H4" i="13"/>
  <c r="G4" i="13"/>
  <c r="AE39" i="3"/>
  <c r="AD39" i="3"/>
  <c r="AC39" i="3"/>
  <c r="AB39" i="3"/>
  <c r="AA39" i="3"/>
  <c r="Z39" i="3"/>
  <c r="W39" i="3"/>
  <c r="R39" i="3"/>
  <c r="Q39" i="3"/>
  <c r="P39" i="3"/>
  <c r="K39" i="3"/>
  <c r="F39" i="3"/>
  <c r="AE38" i="3"/>
  <c r="AD38" i="3"/>
  <c r="AC38" i="3"/>
  <c r="AB38" i="3"/>
  <c r="AA38" i="3"/>
  <c r="Z38" i="3"/>
  <c r="W38" i="3"/>
  <c r="R38" i="3"/>
  <c r="Q38" i="3"/>
  <c r="P38" i="3"/>
  <c r="K38" i="3"/>
  <c r="F38" i="3"/>
  <c r="AE37" i="3"/>
  <c r="AD37" i="3"/>
  <c r="AC37" i="3"/>
  <c r="AB37" i="3"/>
  <c r="AA37" i="3"/>
  <c r="Z37" i="3"/>
  <c r="W37" i="3"/>
  <c r="R37" i="3"/>
  <c r="Q37" i="3"/>
  <c r="P37" i="3"/>
  <c r="K37" i="3"/>
  <c r="F37" i="3"/>
  <c r="AE36" i="3"/>
  <c r="AD36" i="3"/>
  <c r="AC36" i="3"/>
  <c r="AB36" i="3"/>
  <c r="AA36" i="3"/>
  <c r="Z36" i="3"/>
  <c r="W36" i="3"/>
  <c r="R36" i="3"/>
  <c r="Q36" i="3"/>
  <c r="P36" i="3"/>
  <c r="K36" i="3"/>
  <c r="F36" i="3"/>
  <c r="AE35" i="3"/>
  <c r="AD35" i="3"/>
  <c r="AC35" i="3"/>
  <c r="AB35" i="3"/>
  <c r="AA35" i="3"/>
  <c r="Z35" i="3"/>
  <c r="W35" i="3"/>
  <c r="R35" i="3"/>
  <c r="Q35" i="3"/>
  <c r="P35" i="3"/>
  <c r="K35" i="3"/>
  <c r="F35" i="3"/>
  <c r="AE34" i="3"/>
  <c r="AD34" i="3"/>
  <c r="AC34" i="3"/>
  <c r="AB34" i="3"/>
  <c r="AA34" i="3"/>
  <c r="Z34" i="3"/>
  <c r="W34" i="3"/>
  <c r="R34" i="3"/>
  <c r="Q34" i="3"/>
  <c r="P34" i="3"/>
  <c r="K34" i="3"/>
  <c r="F34" i="3"/>
  <c r="AE33" i="3"/>
  <c r="AD33" i="3"/>
  <c r="AC33" i="3"/>
  <c r="AB33" i="3"/>
  <c r="AA33" i="3"/>
  <c r="Z33" i="3"/>
  <c r="W33" i="3"/>
  <c r="R33" i="3"/>
  <c r="Q33" i="3"/>
  <c r="P33" i="3"/>
  <c r="K33" i="3"/>
  <c r="F33" i="3"/>
  <c r="AE32" i="3"/>
  <c r="AD32" i="3"/>
  <c r="AC32" i="3"/>
  <c r="AB32" i="3"/>
  <c r="AA32" i="3"/>
  <c r="Z32" i="3"/>
  <c r="W32" i="3"/>
  <c r="R32" i="3"/>
  <c r="Q32" i="3"/>
  <c r="P32" i="3"/>
  <c r="K32" i="3"/>
  <c r="F32" i="3"/>
  <c r="AE31" i="3"/>
  <c r="AD31" i="3"/>
  <c r="AC31" i="3"/>
  <c r="AB31" i="3"/>
  <c r="AA31" i="3"/>
  <c r="Z31" i="3"/>
  <c r="W31" i="3"/>
  <c r="R31" i="3"/>
  <c r="Q31" i="3"/>
  <c r="P31" i="3"/>
  <c r="K31" i="3"/>
  <c r="F31" i="3"/>
  <c r="AE30" i="3"/>
  <c r="AD30" i="3"/>
  <c r="AC30" i="3"/>
  <c r="AB30" i="3"/>
  <c r="AA30" i="3"/>
  <c r="Z30" i="3"/>
  <c r="W30" i="3"/>
  <c r="R30" i="3"/>
  <c r="Q30" i="3"/>
  <c r="P30" i="3"/>
  <c r="K30" i="3"/>
  <c r="F30" i="3"/>
  <c r="AE29" i="3"/>
  <c r="AD29" i="3"/>
  <c r="AC29" i="3"/>
  <c r="AB29" i="3"/>
  <c r="AA29" i="3"/>
  <c r="Z29" i="3"/>
  <c r="W29" i="3"/>
  <c r="R29" i="3"/>
  <c r="Q29" i="3"/>
  <c r="P29" i="3"/>
  <c r="K29" i="3"/>
  <c r="F29" i="3"/>
  <c r="AE28" i="3"/>
  <c r="AD28" i="3"/>
  <c r="AC28" i="3"/>
  <c r="AB28" i="3"/>
  <c r="AA28" i="3"/>
  <c r="Z28" i="3"/>
  <c r="W28" i="3"/>
  <c r="R28" i="3"/>
  <c r="Q28" i="3"/>
  <c r="P28" i="3"/>
  <c r="K28" i="3"/>
  <c r="F28" i="3"/>
  <c r="AE27" i="3"/>
  <c r="AD27" i="3"/>
  <c r="AC27" i="3"/>
  <c r="AB27" i="3"/>
  <c r="AA27" i="3"/>
  <c r="Z27" i="3"/>
  <c r="W27" i="3"/>
  <c r="R27" i="3"/>
  <c r="Q27" i="3"/>
  <c r="P27" i="3"/>
  <c r="K27" i="3"/>
  <c r="F27" i="3"/>
  <c r="AE26" i="3"/>
  <c r="AD26" i="3"/>
  <c r="AC26" i="3"/>
  <c r="AB26" i="3"/>
  <c r="AA26" i="3"/>
  <c r="Z26" i="3"/>
  <c r="W26" i="3"/>
  <c r="R26" i="3"/>
  <c r="Q26" i="3"/>
  <c r="P26" i="3"/>
  <c r="K26" i="3"/>
  <c r="F26" i="3"/>
  <c r="AE25" i="3"/>
  <c r="AD25" i="3"/>
  <c r="AC25" i="3"/>
  <c r="AB25" i="3"/>
  <c r="AA25" i="3"/>
  <c r="Z25" i="3"/>
  <c r="W25" i="3"/>
  <c r="R25" i="3"/>
  <c r="Q25" i="3"/>
  <c r="P25" i="3"/>
  <c r="K25" i="3"/>
  <c r="F25" i="3"/>
  <c r="AE24" i="3"/>
  <c r="AD24" i="3"/>
  <c r="AC24" i="3"/>
  <c r="AB24" i="3"/>
  <c r="AA24" i="3"/>
  <c r="Z24" i="3"/>
  <c r="W24" i="3"/>
  <c r="R24" i="3"/>
  <c r="Q24" i="3"/>
  <c r="P24" i="3"/>
  <c r="K24" i="3"/>
  <c r="F24" i="3"/>
  <c r="W23" i="3"/>
  <c r="P23" i="3"/>
  <c r="Z23" i="3" s="1"/>
  <c r="F23" i="3"/>
  <c r="W22" i="3"/>
  <c r="P22" i="3"/>
  <c r="Z22" i="3" s="1"/>
  <c r="F22" i="3"/>
  <c r="W21" i="3"/>
  <c r="P21" i="3"/>
  <c r="Z21" i="3" s="1"/>
  <c r="F21" i="3"/>
  <c r="W20" i="3"/>
  <c r="P20" i="3"/>
  <c r="Z20" i="3" s="1"/>
  <c r="F20" i="3"/>
  <c r="Y19" i="3"/>
  <c r="X19" i="3"/>
  <c r="V19" i="3"/>
  <c r="U19" i="3"/>
  <c r="T19" i="3"/>
  <c r="M19" i="3"/>
  <c r="L19" i="3"/>
  <c r="H19" i="3"/>
  <c r="G19" i="3"/>
  <c r="E19" i="3"/>
  <c r="AL18" i="3"/>
  <c r="AK18" i="3"/>
  <c r="AJ18" i="3"/>
  <c r="AH18" i="3"/>
  <c r="AG18" i="3"/>
  <c r="AB18" i="3"/>
  <c r="AA18" i="3"/>
  <c r="Z18" i="3"/>
  <c r="W18" i="3"/>
  <c r="Q18" i="3"/>
  <c r="AC18" i="3" s="1"/>
  <c r="AD18" i="3" s="1"/>
  <c r="P18" i="3"/>
  <c r="O18" i="3"/>
  <c r="K18" i="3"/>
  <c r="J18" i="3"/>
  <c r="F18" i="3"/>
  <c r="W517" i="2"/>
  <c r="V517" i="2"/>
  <c r="U517" i="2"/>
  <c r="T517" i="2"/>
  <c r="S517" i="2"/>
  <c r="R517" i="2"/>
  <c r="L517" i="2"/>
  <c r="K517" i="2"/>
  <c r="J517" i="2"/>
  <c r="W516" i="2"/>
  <c r="V516" i="2"/>
  <c r="U516" i="2"/>
  <c r="T516" i="2"/>
  <c r="S516" i="2"/>
  <c r="R516" i="2"/>
  <c r="L516" i="2"/>
  <c r="K516" i="2"/>
  <c r="J516" i="2"/>
  <c r="W515" i="2"/>
  <c r="V515" i="2"/>
  <c r="U515" i="2"/>
  <c r="T515" i="2"/>
  <c r="S515" i="2"/>
  <c r="R515" i="2"/>
  <c r="L515" i="2"/>
  <c r="K515" i="2"/>
  <c r="J515" i="2"/>
  <c r="W514" i="2"/>
  <c r="V514" i="2"/>
  <c r="U514" i="2"/>
  <c r="T514" i="2"/>
  <c r="S514" i="2"/>
  <c r="R514" i="2"/>
  <c r="L514" i="2"/>
  <c r="K514" i="2"/>
  <c r="J514" i="2"/>
  <c r="W513" i="2"/>
  <c r="V513" i="2"/>
  <c r="U513" i="2"/>
  <c r="T513" i="2"/>
  <c r="S513" i="2"/>
  <c r="R513" i="2"/>
  <c r="L513" i="2"/>
  <c r="K513" i="2"/>
  <c r="J513" i="2"/>
  <c r="W512" i="2"/>
  <c r="V512" i="2"/>
  <c r="U512" i="2"/>
  <c r="T512" i="2"/>
  <c r="S512" i="2"/>
  <c r="R512" i="2"/>
  <c r="L512" i="2"/>
  <c r="K512" i="2"/>
  <c r="J512" i="2"/>
  <c r="W511" i="2"/>
  <c r="V511" i="2"/>
  <c r="U511" i="2"/>
  <c r="T511" i="2"/>
  <c r="S511" i="2"/>
  <c r="R511" i="2"/>
  <c r="L511" i="2"/>
  <c r="K511" i="2"/>
  <c r="J511" i="2"/>
  <c r="W510" i="2"/>
  <c r="V510" i="2"/>
  <c r="U510" i="2"/>
  <c r="T510" i="2"/>
  <c r="S510" i="2"/>
  <c r="R510" i="2"/>
  <c r="L510" i="2"/>
  <c r="K510" i="2"/>
  <c r="J510" i="2"/>
  <c r="W509" i="2"/>
  <c r="V509" i="2"/>
  <c r="U509" i="2"/>
  <c r="T509" i="2"/>
  <c r="S509" i="2"/>
  <c r="R509" i="2"/>
  <c r="L509" i="2"/>
  <c r="K509" i="2"/>
  <c r="J509" i="2"/>
  <c r="W508" i="2"/>
  <c r="V508" i="2"/>
  <c r="U508" i="2"/>
  <c r="T508" i="2"/>
  <c r="S508" i="2"/>
  <c r="R508" i="2"/>
  <c r="L508" i="2"/>
  <c r="K508" i="2"/>
  <c r="J508" i="2"/>
  <c r="W507" i="2"/>
  <c r="V507" i="2"/>
  <c r="U507" i="2"/>
  <c r="T507" i="2"/>
  <c r="S507" i="2"/>
  <c r="R507" i="2"/>
  <c r="L507" i="2"/>
  <c r="K507" i="2"/>
  <c r="J507" i="2"/>
  <c r="W506" i="2"/>
  <c r="V506" i="2"/>
  <c r="U506" i="2"/>
  <c r="T506" i="2"/>
  <c r="S506" i="2"/>
  <c r="R506" i="2"/>
  <c r="L506" i="2"/>
  <c r="K506" i="2"/>
  <c r="J506" i="2"/>
  <c r="W505" i="2"/>
  <c r="V505" i="2"/>
  <c r="U505" i="2"/>
  <c r="T505" i="2"/>
  <c r="S505" i="2"/>
  <c r="R505" i="2"/>
  <c r="L505" i="2"/>
  <c r="K505" i="2"/>
  <c r="J505" i="2"/>
  <c r="W504" i="2"/>
  <c r="V504" i="2"/>
  <c r="U504" i="2"/>
  <c r="T504" i="2"/>
  <c r="S504" i="2"/>
  <c r="R504" i="2"/>
  <c r="L504" i="2"/>
  <c r="K504" i="2"/>
  <c r="J504" i="2"/>
  <c r="W503" i="2"/>
  <c r="V503" i="2"/>
  <c r="U503" i="2"/>
  <c r="T503" i="2"/>
  <c r="S503" i="2"/>
  <c r="R503" i="2"/>
  <c r="L503" i="2"/>
  <c r="K503" i="2"/>
  <c r="J503" i="2"/>
  <c r="W502" i="2"/>
  <c r="V502" i="2"/>
  <c r="U502" i="2"/>
  <c r="T502" i="2"/>
  <c r="S502" i="2"/>
  <c r="R502" i="2"/>
  <c r="L502" i="2"/>
  <c r="K502" i="2"/>
  <c r="J502" i="2"/>
  <c r="W501" i="2"/>
  <c r="V501" i="2"/>
  <c r="U501" i="2"/>
  <c r="T501" i="2"/>
  <c r="S501" i="2"/>
  <c r="R501" i="2"/>
  <c r="L501" i="2"/>
  <c r="K501" i="2"/>
  <c r="J501" i="2"/>
  <c r="W500" i="2"/>
  <c r="V500" i="2"/>
  <c r="U500" i="2"/>
  <c r="T500" i="2"/>
  <c r="S500" i="2"/>
  <c r="R500" i="2"/>
  <c r="L500" i="2"/>
  <c r="K500" i="2"/>
  <c r="J500" i="2"/>
  <c r="W499" i="2"/>
  <c r="V499" i="2"/>
  <c r="U499" i="2"/>
  <c r="T499" i="2"/>
  <c r="S499" i="2"/>
  <c r="R499" i="2"/>
  <c r="L499" i="2"/>
  <c r="K499" i="2"/>
  <c r="J499" i="2"/>
  <c r="W498" i="2"/>
  <c r="V498" i="2"/>
  <c r="U498" i="2"/>
  <c r="T498" i="2"/>
  <c r="S498" i="2"/>
  <c r="R498" i="2"/>
  <c r="L498" i="2"/>
  <c r="K498" i="2"/>
  <c r="J498" i="2"/>
  <c r="W497" i="2"/>
  <c r="V497" i="2"/>
  <c r="U497" i="2"/>
  <c r="T497" i="2"/>
  <c r="S497" i="2"/>
  <c r="R497" i="2"/>
  <c r="L497" i="2"/>
  <c r="K497" i="2"/>
  <c r="J497" i="2"/>
  <c r="W496" i="2"/>
  <c r="V496" i="2"/>
  <c r="U496" i="2"/>
  <c r="T496" i="2"/>
  <c r="S496" i="2"/>
  <c r="R496" i="2"/>
  <c r="L496" i="2"/>
  <c r="K496" i="2"/>
  <c r="J496" i="2"/>
  <c r="W495" i="2"/>
  <c r="V495" i="2"/>
  <c r="U495" i="2"/>
  <c r="T495" i="2"/>
  <c r="S495" i="2"/>
  <c r="R495" i="2"/>
  <c r="L495" i="2"/>
  <c r="K495" i="2"/>
  <c r="J495" i="2"/>
  <c r="W494" i="2"/>
  <c r="V494" i="2"/>
  <c r="U494" i="2"/>
  <c r="T494" i="2"/>
  <c r="S494" i="2"/>
  <c r="R494" i="2"/>
  <c r="L494" i="2"/>
  <c r="K494" i="2"/>
  <c r="J494" i="2"/>
  <c r="W493" i="2"/>
  <c r="V493" i="2"/>
  <c r="U493" i="2"/>
  <c r="T493" i="2"/>
  <c r="S493" i="2"/>
  <c r="R493" i="2"/>
  <c r="L493" i="2"/>
  <c r="K493" i="2"/>
  <c r="J493" i="2"/>
  <c r="W492" i="2"/>
  <c r="V492" i="2"/>
  <c r="U492" i="2"/>
  <c r="T492" i="2"/>
  <c r="S492" i="2"/>
  <c r="R492" i="2"/>
  <c r="L492" i="2"/>
  <c r="K492" i="2"/>
  <c r="J492" i="2"/>
  <c r="W491" i="2"/>
  <c r="V491" i="2"/>
  <c r="U491" i="2"/>
  <c r="T491" i="2"/>
  <c r="S491" i="2"/>
  <c r="R491" i="2"/>
  <c r="L491" i="2"/>
  <c r="K491" i="2"/>
  <c r="J491" i="2"/>
  <c r="W490" i="2"/>
  <c r="V490" i="2"/>
  <c r="U490" i="2"/>
  <c r="T490" i="2"/>
  <c r="S490" i="2"/>
  <c r="R490" i="2"/>
  <c r="L490" i="2"/>
  <c r="K490" i="2"/>
  <c r="J490" i="2"/>
  <c r="W489" i="2"/>
  <c r="V489" i="2"/>
  <c r="U489" i="2"/>
  <c r="T489" i="2"/>
  <c r="S489" i="2"/>
  <c r="R489" i="2"/>
  <c r="L489" i="2"/>
  <c r="K489" i="2"/>
  <c r="J489" i="2"/>
  <c r="W488" i="2"/>
  <c r="V488" i="2"/>
  <c r="U488" i="2"/>
  <c r="T488" i="2"/>
  <c r="S488" i="2"/>
  <c r="R488" i="2"/>
  <c r="L488" i="2"/>
  <c r="K488" i="2"/>
  <c r="J488" i="2"/>
  <c r="W487" i="2"/>
  <c r="V487" i="2"/>
  <c r="U487" i="2"/>
  <c r="T487" i="2"/>
  <c r="S487" i="2"/>
  <c r="R487" i="2"/>
  <c r="L487" i="2"/>
  <c r="K487" i="2"/>
  <c r="J487" i="2"/>
  <c r="W486" i="2"/>
  <c r="V486" i="2"/>
  <c r="U486" i="2"/>
  <c r="T486" i="2"/>
  <c r="S486" i="2"/>
  <c r="R486" i="2"/>
  <c r="L486" i="2"/>
  <c r="K486" i="2"/>
  <c r="J486" i="2"/>
  <c r="W485" i="2"/>
  <c r="V485" i="2"/>
  <c r="U485" i="2"/>
  <c r="T485" i="2"/>
  <c r="S485" i="2"/>
  <c r="R485" i="2"/>
  <c r="L485" i="2"/>
  <c r="K485" i="2"/>
  <c r="J485" i="2"/>
  <c r="W484" i="2"/>
  <c r="V484" i="2"/>
  <c r="U484" i="2"/>
  <c r="T484" i="2"/>
  <c r="S484" i="2"/>
  <c r="R484" i="2"/>
  <c r="L484" i="2"/>
  <c r="K484" i="2"/>
  <c r="J484" i="2"/>
  <c r="W483" i="2"/>
  <c r="V483" i="2"/>
  <c r="U483" i="2"/>
  <c r="T483" i="2"/>
  <c r="S483" i="2"/>
  <c r="R483" i="2"/>
  <c r="L483" i="2"/>
  <c r="K483" i="2"/>
  <c r="J483" i="2"/>
  <c r="W482" i="2"/>
  <c r="V482" i="2"/>
  <c r="U482" i="2"/>
  <c r="T482" i="2"/>
  <c r="S482" i="2"/>
  <c r="R482" i="2"/>
  <c r="L482" i="2"/>
  <c r="K482" i="2"/>
  <c r="J482" i="2"/>
  <c r="W481" i="2"/>
  <c r="V481" i="2"/>
  <c r="U481" i="2"/>
  <c r="T481" i="2"/>
  <c r="S481" i="2"/>
  <c r="R481" i="2"/>
  <c r="L481" i="2"/>
  <c r="K481" i="2"/>
  <c r="J481" i="2"/>
  <c r="W480" i="2"/>
  <c r="V480" i="2"/>
  <c r="U480" i="2"/>
  <c r="T480" i="2"/>
  <c r="S480" i="2"/>
  <c r="R480" i="2"/>
  <c r="L480" i="2"/>
  <c r="K480" i="2"/>
  <c r="J480" i="2"/>
  <c r="W479" i="2"/>
  <c r="V479" i="2"/>
  <c r="U479" i="2"/>
  <c r="T479" i="2"/>
  <c r="S479" i="2"/>
  <c r="R479" i="2"/>
  <c r="L479" i="2"/>
  <c r="K479" i="2"/>
  <c r="J479" i="2"/>
  <c r="W478" i="2"/>
  <c r="V478" i="2"/>
  <c r="U478" i="2"/>
  <c r="T478" i="2"/>
  <c r="S478" i="2"/>
  <c r="R478" i="2"/>
  <c r="L478" i="2"/>
  <c r="K478" i="2"/>
  <c r="J478" i="2"/>
  <c r="W477" i="2"/>
  <c r="V477" i="2"/>
  <c r="U477" i="2"/>
  <c r="T477" i="2"/>
  <c r="S477" i="2"/>
  <c r="R477" i="2"/>
  <c r="L477" i="2"/>
  <c r="K477" i="2"/>
  <c r="J477" i="2"/>
  <c r="W476" i="2"/>
  <c r="V476" i="2"/>
  <c r="U476" i="2"/>
  <c r="T476" i="2"/>
  <c r="S476" i="2"/>
  <c r="R476" i="2"/>
  <c r="L476" i="2"/>
  <c r="K476" i="2"/>
  <c r="J476" i="2"/>
  <c r="W475" i="2"/>
  <c r="V475" i="2"/>
  <c r="U475" i="2"/>
  <c r="T475" i="2"/>
  <c r="S475" i="2"/>
  <c r="R475" i="2"/>
  <c r="L475" i="2"/>
  <c r="K475" i="2"/>
  <c r="J475" i="2"/>
  <c r="W474" i="2"/>
  <c r="V474" i="2"/>
  <c r="U474" i="2"/>
  <c r="T474" i="2"/>
  <c r="S474" i="2"/>
  <c r="R474" i="2"/>
  <c r="L474" i="2"/>
  <c r="K474" i="2"/>
  <c r="J474" i="2"/>
  <c r="W473" i="2"/>
  <c r="V473" i="2"/>
  <c r="U473" i="2"/>
  <c r="T473" i="2"/>
  <c r="S473" i="2"/>
  <c r="R473" i="2"/>
  <c r="L473" i="2"/>
  <c r="K473" i="2"/>
  <c r="J473" i="2"/>
  <c r="W472" i="2"/>
  <c r="V472" i="2"/>
  <c r="U472" i="2"/>
  <c r="T472" i="2"/>
  <c r="S472" i="2"/>
  <c r="R472" i="2"/>
  <c r="L472" i="2"/>
  <c r="K472" i="2"/>
  <c r="J472" i="2"/>
  <c r="W471" i="2"/>
  <c r="V471" i="2"/>
  <c r="U471" i="2"/>
  <c r="T471" i="2"/>
  <c r="S471" i="2"/>
  <c r="R471" i="2"/>
  <c r="L471" i="2"/>
  <c r="K471" i="2"/>
  <c r="J471" i="2"/>
  <c r="W470" i="2"/>
  <c r="V470" i="2"/>
  <c r="U470" i="2"/>
  <c r="T470" i="2"/>
  <c r="S470" i="2"/>
  <c r="R470" i="2"/>
  <c r="L470" i="2"/>
  <c r="K470" i="2"/>
  <c r="J470" i="2"/>
  <c r="W469" i="2"/>
  <c r="V469" i="2"/>
  <c r="U469" i="2"/>
  <c r="T469" i="2"/>
  <c r="S469" i="2"/>
  <c r="R469" i="2"/>
  <c r="L469" i="2"/>
  <c r="K469" i="2"/>
  <c r="J469" i="2"/>
  <c r="W468" i="2"/>
  <c r="V468" i="2"/>
  <c r="U468" i="2"/>
  <c r="T468" i="2"/>
  <c r="S468" i="2"/>
  <c r="R468" i="2"/>
  <c r="L468" i="2"/>
  <c r="K468" i="2"/>
  <c r="J468" i="2"/>
  <c r="W467" i="2"/>
  <c r="V467" i="2"/>
  <c r="U467" i="2"/>
  <c r="T467" i="2"/>
  <c r="S467" i="2"/>
  <c r="R467" i="2"/>
  <c r="L467" i="2"/>
  <c r="K467" i="2"/>
  <c r="J467" i="2"/>
  <c r="W466" i="2"/>
  <c r="V466" i="2"/>
  <c r="U466" i="2"/>
  <c r="T466" i="2"/>
  <c r="S466" i="2"/>
  <c r="R466" i="2"/>
  <c r="L466" i="2"/>
  <c r="K466" i="2"/>
  <c r="J466" i="2"/>
  <c r="W465" i="2"/>
  <c r="V465" i="2"/>
  <c r="U465" i="2"/>
  <c r="T465" i="2"/>
  <c r="S465" i="2"/>
  <c r="R465" i="2"/>
  <c r="L465" i="2"/>
  <c r="K465" i="2"/>
  <c r="J465" i="2"/>
  <c r="W464" i="2"/>
  <c r="V464" i="2"/>
  <c r="U464" i="2"/>
  <c r="T464" i="2"/>
  <c r="S464" i="2"/>
  <c r="R464" i="2"/>
  <c r="L464" i="2"/>
  <c r="K464" i="2"/>
  <c r="J464" i="2"/>
  <c r="W463" i="2"/>
  <c r="V463" i="2"/>
  <c r="U463" i="2"/>
  <c r="T463" i="2"/>
  <c r="S463" i="2"/>
  <c r="R463" i="2"/>
  <c r="L463" i="2"/>
  <c r="K463" i="2"/>
  <c r="J463" i="2"/>
  <c r="W462" i="2"/>
  <c r="V462" i="2"/>
  <c r="U462" i="2"/>
  <c r="T462" i="2"/>
  <c r="S462" i="2"/>
  <c r="R462" i="2"/>
  <c r="L462" i="2"/>
  <c r="K462" i="2"/>
  <c r="J462" i="2"/>
  <c r="W461" i="2"/>
  <c r="V461" i="2"/>
  <c r="U461" i="2"/>
  <c r="T461" i="2"/>
  <c r="S461" i="2"/>
  <c r="R461" i="2"/>
  <c r="L461" i="2"/>
  <c r="K461" i="2"/>
  <c r="J461" i="2"/>
  <c r="W460" i="2"/>
  <c r="V460" i="2"/>
  <c r="U460" i="2"/>
  <c r="T460" i="2"/>
  <c r="S460" i="2"/>
  <c r="R460" i="2"/>
  <c r="L460" i="2"/>
  <c r="K460" i="2"/>
  <c r="J460" i="2"/>
  <c r="W459" i="2"/>
  <c r="V459" i="2"/>
  <c r="U459" i="2"/>
  <c r="T459" i="2"/>
  <c r="S459" i="2"/>
  <c r="R459" i="2"/>
  <c r="L459" i="2"/>
  <c r="K459" i="2"/>
  <c r="J459" i="2"/>
  <c r="W458" i="2"/>
  <c r="V458" i="2"/>
  <c r="U458" i="2"/>
  <c r="T458" i="2"/>
  <c r="S458" i="2"/>
  <c r="R458" i="2"/>
  <c r="L458" i="2"/>
  <c r="K458" i="2"/>
  <c r="J458" i="2"/>
  <c r="W457" i="2"/>
  <c r="V457" i="2"/>
  <c r="U457" i="2"/>
  <c r="T457" i="2"/>
  <c r="S457" i="2"/>
  <c r="R457" i="2"/>
  <c r="L457" i="2"/>
  <c r="K457" i="2"/>
  <c r="J457" i="2"/>
  <c r="W456" i="2"/>
  <c r="V456" i="2"/>
  <c r="U456" i="2"/>
  <c r="T456" i="2"/>
  <c r="S456" i="2"/>
  <c r="R456" i="2"/>
  <c r="L456" i="2"/>
  <c r="K456" i="2"/>
  <c r="J456" i="2"/>
  <c r="W455" i="2"/>
  <c r="V455" i="2"/>
  <c r="U455" i="2"/>
  <c r="T455" i="2"/>
  <c r="S455" i="2"/>
  <c r="R455" i="2"/>
  <c r="L455" i="2"/>
  <c r="K455" i="2"/>
  <c r="J455" i="2"/>
  <c r="W454" i="2"/>
  <c r="V454" i="2"/>
  <c r="U454" i="2"/>
  <c r="T454" i="2"/>
  <c r="S454" i="2"/>
  <c r="R454" i="2"/>
  <c r="L454" i="2"/>
  <c r="K454" i="2"/>
  <c r="J454" i="2"/>
  <c r="W453" i="2"/>
  <c r="V453" i="2"/>
  <c r="U453" i="2"/>
  <c r="T453" i="2"/>
  <c r="S453" i="2"/>
  <c r="R453" i="2"/>
  <c r="L453" i="2"/>
  <c r="K453" i="2"/>
  <c r="J453" i="2"/>
  <c r="W452" i="2"/>
  <c r="V452" i="2"/>
  <c r="U452" i="2"/>
  <c r="T452" i="2"/>
  <c r="S452" i="2"/>
  <c r="R452" i="2"/>
  <c r="L452" i="2"/>
  <c r="K452" i="2"/>
  <c r="J452" i="2"/>
  <c r="W451" i="2"/>
  <c r="V451" i="2"/>
  <c r="U451" i="2"/>
  <c r="T451" i="2"/>
  <c r="S451" i="2"/>
  <c r="R451" i="2"/>
  <c r="L451" i="2"/>
  <c r="K451" i="2"/>
  <c r="J451" i="2"/>
  <c r="W450" i="2"/>
  <c r="V450" i="2"/>
  <c r="U450" i="2"/>
  <c r="T450" i="2"/>
  <c r="S450" i="2"/>
  <c r="R450" i="2"/>
  <c r="L450" i="2"/>
  <c r="K450" i="2"/>
  <c r="J450" i="2"/>
  <c r="W449" i="2"/>
  <c r="V449" i="2"/>
  <c r="U449" i="2"/>
  <c r="T449" i="2"/>
  <c r="S449" i="2"/>
  <c r="R449" i="2"/>
  <c r="L449" i="2"/>
  <c r="K449" i="2"/>
  <c r="J449" i="2"/>
  <c r="W448" i="2"/>
  <c r="V448" i="2"/>
  <c r="U448" i="2"/>
  <c r="T448" i="2"/>
  <c r="S448" i="2"/>
  <c r="R448" i="2"/>
  <c r="L448" i="2"/>
  <c r="K448" i="2"/>
  <c r="J448" i="2"/>
  <c r="W447" i="2"/>
  <c r="V447" i="2"/>
  <c r="U447" i="2"/>
  <c r="T447" i="2"/>
  <c r="S447" i="2"/>
  <c r="R447" i="2"/>
  <c r="L447" i="2"/>
  <c r="K447" i="2"/>
  <c r="J447" i="2"/>
  <c r="W446" i="2"/>
  <c r="V446" i="2"/>
  <c r="U446" i="2"/>
  <c r="T446" i="2"/>
  <c r="S446" i="2"/>
  <c r="R446" i="2"/>
  <c r="L446" i="2"/>
  <c r="K446" i="2"/>
  <c r="J446" i="2"/>
  <c r="W445" i="2"/>
  <c r="V445" i="2"/>
  <c r="U445" i="2"/>
  <c r="T445" i="2"/>
  <c r="S445" i="2"/>
  <c r="R445" i="2"/>
  <c r="L445" i="2"/>
  <c r="K445" i="2"/>
  <c r="J445" i="2"/>
  <c r="W444" i="2"/>
  <c r="V444" i="2"/>
  <c r="U444" i="2"/>
  <c r="T444" i="2"/>
  <c r="S444" i="2"/>
  <c r="R444" i="2"/>
  <c r="L444" i="2"/>
  <c r="K444" i="2"/>
  <c r="J444" i="2"/>
  <c r="W443" i="2"/>
  <c r="V443" i="2"/>
  <c r="U443" i="2"/>
  <c r="T443" i="2"/>
  <c r="S443" i="2"/>
  <c r="R443" i="2"/>
  <c r="L443" i="2"/>
  <c r="K443" i="2"/>
  <c r="J443" i="2"/>
  <c r="W442" i="2"/>
  <c r="V442" i="2"/>
  <c r="U442" i="2"/>
  <c r="T442" i="2"/>
  <c r="S442" i="2"/>
  <c r="R442" i="2"/>
  <c r="L442" i="2"/>
  <c r="K442" i="2"/>
  <c r="J442" i="2"/>
  <c r="W441" i="2"/>
  <c r="V441" i="2"/>
  <c r="U441" i="2"/>
  <c r="T441" i="2"/>
  <c r="S441" i="2"/>
  <c r="R441" i="2"/>
  <c r="L441" i="2"/>
  <c r="K441" i="2"/>
  <c r="J441" i="2"/>
  <c r="W440" i="2"/>
  <c r="V440" i="2"/>
  <c r="U440" i="2"/>
  <c r="T440" i="2"/>
  <c r="S440" i="2"/>
  <c r="R440" i="2"/>
  <c r="L440" i="2"/>
  <c r="K440" i="2"/>
  <c r="J440" i="2"/>
  <c r="W439" i="2"/>
  <c r="V439" i="2"/>
  <c r="U439" i="2"/>
  <c r="T439" i="2"/>
  <c r="S439" i="2"/>
  <c r="R439" i="2"/>
  <c r="L439" i="2"/>
  <c r="K439" i="2"/>
  <c r="J439" i="2"/>
  <c r="W438" i="2"/>
  <c r="V438" i="2"/>
  <c r="U438" i="2"/>
  <c r="T438" i="2"/>
  <c r="S438" i="2"/>
  <c r="R438" i="2"/>
  <c r="L438" i="2"/>
  <c r="K438" i="2"/>
  <c r="J438" i="2"/>
  <c r="W437" i="2"/>
  <c r="V437" i="2"/>
  <c r="U437" i="2"/>
  <c r="T437" i="2"/>
  <c r="S437" i="2"/>
  <c r="R437" i="2"/>
  <c r="L437" i="2"/>
  <c r="K437" i="2"/>
  <c r="J437" i="2"/>
  <c r="W436" i="2"/>
  <c r="V436" i="2"/>
  <c r="U436" i="2"/>
  <c r="T436" i="2"/>
  <c r="S436" i="2"/>
  <c r="R436" i="2"/>
  <c r="L436" i="2"/>
  <c r="K436" i="2"/>
  <c r="J436" i="2"/>
  <c r="W435" i="2"/>
  <c r="V435" i="2"/>
  <c r="U435" i="2"/>
  <c r="T435" i="2"/>
  <c r="S435" i="2"/>
  <c r="R435" i="2"/>
  <c r="L435" i="2"/>
  <c r="K435" i="2"/>
  <c r="J435" i="2"/>
  <c r="W434" i="2"/>
  <c r="V434" i="2"/>
  <c r="U434" i="2"/>
  <c r="T434" i="2"/>
  <c r="S434" i="2"/>
  <c r="R434" i="2"/>
  <c r="L434" i="2"/>
  <c r="K434" i="2"/>
  <c r="J434" i="2"/>
  <c r="W433" i="2"/>
  <c r="V433" i="2"/>
  <c r="U433" i="2"/>
  <c r="T433" i="2"/>
  <c r="S433" i="2"/>
  <c r="R433" i="2"/>
  <c r="L433" i="2"/>
  <c r="K433" i="2"/>
  <c r="J433" i="2"/>
  <c r="W432" i="2"/>
  <c r="V432" i="2"/>
  <c r="U432" i="2"/>
  <c r="T432" i="2"/>
  <c r="S432" i="2"/>
  <c r="R432" i="2"/>
  <c r="L432" i="2"/>
  <c r="K432" i="2"/>
  <c r="J432" i="2"/>
  <c r="W431" i="2"/>
  <c r="V431" i="2"/>
  <c r="U431" i="2"/>
  <c r="T431" i="2"/>
  <c r="S431" i="2"/>
  <c r="R431" i="2"/>
  <c r="L431" i="2"/>
  <c r="K431" i="2"/>
  <c r="J431" i="2"/>
  <c r="W430" i="2"/>
  <c r="V430" i="2"/>
  <c r="U430" i="2"/>
  <c r="T430" i="2"/>
  <c r="S430" i="2"/>
  <c r="R430" i="2"/>
  <c r="L430" i="2"/>
  <c r="K430" i="2"/>
  <c r="J430" i="2"/>
  <c r="W429" i="2"/>
  <c r="V429" i="2"/>
  <c r="U429" i="2"/>
  <c r="T429" i="2"/>
  <c r="S429" i="2"/>
  <c r="R429" i="2"/>
  <c r="L429" i="2"/>
  <c r="K429" i="2"/>
  <c r="J429" i="2"/>
  <c r="W428" i="2"/>
  <c r="V428" i="2"/>
  <c r="U428" i="2"/>
  <c r="T428" i="2"/>
  <c r="S428" i="2"/>
  <c r="R428" i="2"/>
  <c r="L428" i="2"/>
  <c r="K428" i="2"/>
  <c r="J428" i="2"/>
  <c r="W427" i="2"/>
  <c r="V427" i="2"/>
  <c r="U427" i="2"/>
  <c r="T427" i="2"/>
  <c r="S427" i="2"/>
  <c r="R427" i="2"/>
  <c r="L427" i="2"/>
  <c r="K427" i="2"/>
  <c r="J427" i="2"/>
  <c r="W426" i="2"/>
  <c r="V426" i="2"/>
  <c r="U426" i="2"/>
  <c r="T426" i="2"/>
  <c r="S426" i="2"/>
  <c r="R426" i="2"/>
  <c r="L426" i="2"/>
  <c r="K426" i="2"/>
  <c r="J426" i="2"/>
  <c r="W425" i="2"/>
  <c r="V425" i="2"/>
  <c r="U425" i="2"/>
  <c r="T425" i="2"/>
  <c r="S425" i="2"/>
  <c r="R425" i="2"/>
  <c r="L425" i="2"/>
  <c r="K425" i="2"/>
  <c r="J425" i="2"/>
  <c r="W424" i="2"/>
  <c r="V424" i="2"/>
  <c r="U424" i="2"/>
  <c r="T424" i="2"/>
  <c r="S424" i="2"/>
  <c r="R424" i="2"/>
  <c r="L424" i="2"/>
  <c r="K424" i="2"/>
  <c r="J424" i="2"/>
  <c r="W423" i="2"/>
  <c r="V423" i="2"/>
  <c r="U423" i="2"/>
  <c r="T423" i="2"/>
  <c r="S423" i="2"/>
  <c r="R423" i="2"/>
  <c r="L423" i="2"/>
  <c r="K423" i="2"/>
  <c r="J423" i="2"/>
  <c r="W422" i="2"/>
  <c r="V422" i="2"/>
  <c r="U422" i="2"/>
  <c r="T422" i="2"/>
  <c r="S422" i="2"/>
  <c r="R422" i="2"/>
  <c r="L422" i="2"/>
  <c r="K422" i="2"/>
  <c r="J422" i="2"/>
  <c r="W421" i="2"/>
  <c r="V421" i="2"/>
  <c r="U421" i="2"/>
  <c r="T421" i="2"/>
  <c r="S421" i="2"/>
  <c r="R421" i="2"/>
  <c r="L421" i="2"/>
  <c r="K421" i="2"/>
  <c r="J421" i="2"/>
  <c r="W420" i="2"/>
  <c r="V420" i="2"/>
  <c r="U420" i="2"/>
  <c r="T420" i="2"/>
  <c r="S420" i="2"/>
  <c r="R420" i="2"/>
  <c r="L420" i="2"/>
  <c r="K420" i="2"/>
  <c r="J420" i="2"/>
  <c r="W419" i="2"/>
  <c r="V419" i="2"/>
  <c r="U419" i="2"/>
  <c r="T419" i="2"/>
  <c r="S419" i="2"/>
  <c r="R419" i="2"/>
  <c r="L419" i="2"/>
  <c r="K419" i="2"/>
  <c r="J419" i="2"/>
  <c r="W418" i="2"/>
  <c r="V418" i="2"/>
  <c r="U418" i="2"/>
  <c r="T418" i="2"/>
  <c r="S418" i="2"/>
  <c r="R418" i="2"/>
  <c r="L418" i="2"/>
  <c r="K418" i="2"/>
  <c r="J418" i="2"/>
  <c r="W417" i="2"/>
  <c r="V417" i="2"/>
  <c r="U417" i="2"/>
  <c r="T417" i="2"/>
  <c r="S417" i="2"/>
  <c r="R417" i="2"/>
  <c r="L417" i="2"/>
  <c r="K417" i="2"/>
  <c r="J417" i="2"/>
  <c r="W416" i="2"/>
  <c r="V416" i="2"/>
  <c r="U416" i="2"/>
  <c r="T416" i="2"/>
  <c r="S416" i="2"/>
  <c r="R416" i="2"/>
  <c r="L416" i="2"/>
  <c r="K416" i="2"/>
  <c r="J416" i="2"/>
  <c r="W415" i="2"/>
  <c r="V415" i="2"/>
  <c r="U415" i="2"/>
  <c r="T415" i="2"/>
  <c r="S415" i="2"/>
  <c r="R415" i="2"/>
  <c r="L415" i="2"/>
  <c r="K415" i="2"/>
  <c r="J415" i="2"/>
  <c r="W414" i="2"/>
  <c r="V414" i="2"/>
  <c r="U414" i="2"/>
  <c r="T414" i="2"/>
  <c r="S414" i="2"/>
  <c r="R414" i="2"/>
  <c r="L414" i="2"/>
  <c r="K414" i="2"/>
  <c r="J414" i="2"/>
  <c r="W413" i="2"/>
  <c r="V413" i="2"/>
  <c r="U413" i="2"/>
  <c r="T413" i="2"/>
  <c r="S413" i="2"/>
  <c r="R413" i="2"/>
  <c r="L413" i="2"/>
  <c r="K413" i="2"/>
  <c r="J413" i="2"/>
  <c r="W412" i="2"/>
  <c r="V412" i="2"/>
  <c r="U412" i="2"/>
  <c r="T412" i="2"/>
  <c r="S412" i="2"/>
  <c r="R412" i="2"/>
  <c r="L412" i="2"/>
  <c r="K412" i="2"/>
  <c r="J412" i="2"/>
  <c r="W411" i="2"/>
  <c r="V411" i="2"/>
  <c r="U411" i="2"/>
  <c r="T411" i="2"/>
  <c r="S411" i="2"/>
  <c r="R411" i="2"/>
  <c r="L411" i="2"/>
  <c r="K411" i="2"/>
  <c r="J411" i="2"/>
  <c r="W410" i="2"/>
  <c r="V410" i="2"/>
  <c r="U410" i="2"/>
  <c r="T410" i="2"/>
  <c r="S410" i="2"/>
  <c r="R410" i="2"/>
  <c r="L410" i="2"/>
  <c r="K410" i="2"/>
  <c r="J410" i="2"/>
  <c r="W409" i="2"/>
  <c r="V409" i="2"/>
  <c r="U409" i="2"/>
  <c r="T409" i="2"/>
  <c r="S409" i="2"/>
  <c r="R409" i="2"/>
  <c r="L409" i="2"/>
  <c r="K409" i="2"/>
  <c r="J409" i="2"/>
  <c r="W408" i="2"/>
  <c r="V408" i="2"/>
  <c r="U408" i="2"/>
  <c r="T408" i="2"/>
  <c r="S408" i="2"/>
  <c r="R408" i="2"/>
  <c r="L408" i="2"/>
  <c r="K408" i="2"/>
  <c r="J408" i="2"/>
  <c r="W407" i="2"/>
  <c r="V407" i="2"/>
  <c r="U407" i="2"/>
  <c r="T407" i="2"/>
  <c r="S407" i="2"/>
  <c r="R407" i="2"/>
  <c r="L407" i="2"/>
  <c r="K407" i="2"/>
  <c r="J407" i="2"/>
  <c r="W406" i="2"/>
  <c r="V406" i="2"/>
  <c r="U406" i="2"/>
  <c r="T406" i="2"/>
  <c r="S406" i="2"/>
  <c r="R406" i="2"/>
  <c r="L406" i="2"/>
  <c r="K406" i="2"/>
  <c r="J406" i="2"/>
  <c r="W405" i="2"/>
  <c r="V405" i="2"/>
  <c r="U405" i="2"/>
  <c r="T405" i="2"/>
  <c r="S405" i="2"/>
  <c r="R405" i="2"/>
  <c r="L405" i="2"/>
  <c r="K405" i="2"/>
  <c r="J405" i="2"/>
  <c r="W404" i="2"/>
  <c r="V404" i="2"/>
  <c r="U404" i="2"/>
  <c r="T404" i="2"/>
  <c r="S404" i="2"/>
  <c r="R404" i="2"/>
  <c r="L404" i="2"/>
  <c r="K404" i="2"/>
  <c r="J404" i="2"/>
  <c r="W403" i="2"/>
  <c r="V403" i="2"/>
  <c r="U403" i="2"/>
  <c r="T403" i="2"/>
  <c r="S403" i="2"/>
  <c r="R403" i="2"/>
  <c r="L403" i="2"/>
  <c r="K403" i="2"/>
  <c r="J403" i="2"/>
  <c r="W402" i="2"/>
  <c r="V402" i="2"/>
  <c r="U402" i="2"/>
  <c r="T402" i="2"/>
  <c r="S402" i="2"/>
  <c r="R402" i="2"/>
  <c r="L402" i="2"/>
  <c r="K402" i="2"/>
  <c r="J402" i="2"/>
  <c r="W401" i="2"/>
  <c r="V401" i="2"/>
  <c r="U401" i="2"/>
  <c r="T401" i="2"/>
  <c r="S401" i="2"/>
  <c r="R401" i="2"/>
  <c r="L401" i="2"/>
  <c r="K401" i="2"/>
  <c r="J401" i="2"/>
  <c r="W400" i="2"/>
  <c r="V400" i="2"/>
  <c r="U400" i="2"/>
  <c r="T400" i="2"/>
  <c r="S400" i="2"/>
  <c r="R400" i="2"/>
  <c r="L400" i="2"/>
  <c r="K400" i="2"/>
  <c r="J400" i="2"/>
  <c r="W399" i="2"/>
  <c r="V399" i="2"/>
  <c r="U399" i="2"/>
  <c r="T399" i="2"/>
  <c r="S399" i="2"/>
  <c r="R399" i="2"/>
  <c r="L399" i="2"/>
  <c r="K399" i="2"/>
  <c r="J399" i="2"/>
  <c r="W398" i="2"/>
  <c r="V398" i="2"/>
  <c r="U398" i="2"/>
  <c r="T398" i="2"/>
  <c r="S398" i="2"/>
  <c r="R398" i="2"/>
  <c r="L398" i="2"/>
  <c r="K398" i="2"/>
  <c r="J398" i="2"/>
  <c r="W397" i="2"/>
  <c r="V397" i="2"/>
  <c r="U397" i="2"/>
  <c r="T397" i="2"/>
  <c r="S397" i="2"/>
  <c r="R397" i="2"/>
  <c r="L397" i="2"/>
  <c r="K397" i="2"/>
  <c r="J397" i="2"/>
  <c r="W396" i="2"/>
  <c r="V396" i="2"/>
  <c r="U396" i="2"/>
  <c r="T396" i="2"/>
  <c r="S396" i="2"/>
  <c r="R396" i="2"/>
  <c r="L396" i="2"/>
  <c r="K396" i="2"/>
  <c r="J396" i="2"/>
  <c r="W395" i="2"/>
  <c r="V395" i="2"/>
  <c r="U395" i="2"/>
  <c r="T395" i="2"/>
  <c r="S395" i="2"/>
  <c r="R395" i="2"/>
  <c r="L395" i="2"/>
  <c r="K395" i="2"/>
  <c r="J395" i="2"/>
  <c r="W394" i="2"/>
  <c r="V394" i="2"/>
  <c r="U394" i="2"/>
  <c r="T394" i="2"/>
  <c r="S394" i="2"/>
  <c r="R394" i="2"/>
  <c r="L394" i="2"/>
  <c r="K394" i="2"/>
  <c r="J394" i="2"/>
  <c r="W393" i="2"/>
  <c r="V393" i="2"/>
  <c r="U393" i="2"/>
  <c r="T393" i="2"/>
  <c r="S393" i="2"/>
  <c r="R393" i="2"/>
  <c r="L393" i="2"/>
  <c r="K393" i="2"/>
  <c r="J393" i="2"/>
  <c r="W392" i="2"/>
  <c r="V392" i="2"/>
  <c r="U392" i="2"/>
  <c r="T392" i="2"/>
  <c r="S392" i="2"/>
  <c r="R392" i="2"/>
  <c r="L392" i="2"/>
  <c r="K392" i="2"/>
  <c r="J392" i="2"/>
  <c r="W391" i="2"/>
  <c r="V391" i="2"/>
  <c r="U391" i="2"/>
  <c r="T391" i="2"/>
  <c r="S391" i="2"/>
  <c r="R391" i="2"/>
  <c r="L391" i="2"/>
  <c r="K391" i="2"/>
  <c r="J391" i="2"/>
  <c r="W390" i="2"/>
  <c r="V390" i="2"/>
  <c r="U390" i="2"/>
  <c r="T390" i="2"/>
  <c r="S390" i="2"/>
  <c r="R390" i="2"/>
  <c r="L390" i="2"/>
  <c r="K390" i="2"/>
  <c r="J390" i="2"/>
  <c r="W389" i="2"/>
  <c r="V389" i="2"/>
  <c r="U389" i="2"/>
  <c r="T389" i="2"/>
  <c r="S389" i="2"/>
  <c r="R389" i="2"/>
  <c r="L389" i="2"/>
  <c r="K389" i="2"/>
  <c r="J389" i="2"/>
  <c r="W388" i="2"/>
  <c r="V388" i="2"/>
  <c r="U388" i="2"/>
  <c r="T388" i="2"/>
  <c r="S388" i="2"/>
  <c r="R388" i="2"/>
  <c r="L388" i="2"/>
  <c r="K388" i="2"/>
  <c r="J388" i="2"/>
  <c r="W387" i="2"/>
  <c r="V387" i="2"/>
  <c r="U387" i="2"/>
  <c r="T387" i="2"/>
  <c r="S387" i="2"/>
  <c r="R387" i="2"/>
  <c r="L387" i="2"/>
  <c r="K387" i="2"/>
  <c r="J387" i="2"/>
  <c r="W386" i="2"/>
  <c r="V386" i="2"/>
  <c r="U386" i="2"/>
  <c r="T386" i="2"/>
  <c r="S386" i="2"/>
  <c r="R386" i="2"/>
  <c r="L386" i="2"/>
  <c r="K386" i="2"/>
  <c r="J386" i="2"/>
  <c r="W385" i="2"/>
  <c r="V385" i="2"/>
  <c r="U385" i="2"/>
  <c r="T385" i="2"/>
  <c r="S385" i="2"/>
  <c r="R385" i="2"/>
  <c r="L385" i="2"/>
  <c r="K385" i="2"/>
  <c r="J385" i="2"/>
  <c r="W384" i="2"/>
  <c r="V384" i="2"/>
  <c r="U384" i="2"/>
  <c r="T384" i="2"/>
  <c r="S384" i="2"/>
  <c r="R384" i="2"/>
  <c r="L384" i="2"/>
  <c r="K384" i="2"/>
  <c r="J384" i="2"/>
  <c r="W383" i="2"/>
  <c r="V383" i="2"/>
  <c r="U383" i="2"/>
  <c r="T383" i="2"/>
  <c r="S383" i="2"/>
  <c r="R383" i="2"/>
  <c r="L383" i="2"/>
  <c r="K383" i="2"/>
  <c r="J383" i="2"/>
  <c r="W382" i="2"/>
  <c r="V382" i="2"/>
  <c r="U382" i="2"/>
  <c r="T382" i="2"/>
  <c r="S382" i="2"/>
  <c r="R382" i="2"/>
  <c r="L382" i="2"/>
  <c r="K382" i="2"/>
  <c r="J382" i="2"/>
  <c r="W381" i="2"/>
  <c r="V381" i="2"/>
  <c r="U381" i="2"/>
  <c r="T381" i="2"/>
  <c r="S381" i="2"/>
  <c r="R381" i="2"/>
  <c r="L381" i="2"/>
  <c r="K381" i="2"/>
  <c r="J381" i="2"/>
  <c r="W380" i="2"/>
  <c r="V380" i="2"/>
  <c r="U380" i="2"/>
  <c r="T380" i="2"/>
  <c r="S380" i="2"/>
  <c r="R380" i="2"/>
  <c r="L380" i="2"/>
  <c r="K380" i="2"/>
  <c r="J380" i="2"/>
  <c r="W379" i="2"/>
  <c r="V379" i="2"/>
  <c r="U379" i="2"/>
  <c r="T379" i="2"/>
  <c r="S379" i="2"/>
  <c r="R379" i="2"/>
  <c r="L379" i="2"/>
  <c r="K379" i="2"/>
  <c r="J379" i="2"/>
  <c r="W378" i="2"/>
  <c r="V378" i="2"/>
  <c r="U378" i="2"/>
  <c r="T378" i="2"/>
  <c r="S378" i="2"/>
  <c r="R378" i="2"/>
  <c r="L378" i="2"/>
  <c r="K378" i="2"/>
  <c r="J378" i="2"/>
  <c r="W377" i="2"/>
  <c r="V377" i="2"/>
  <c r="U377" i="2"/>
  <c r="T377" i="2"/>
  <c r="S377" i="2"/>
  <c r="R377" i="2"/>
  <c r="L377" i="2"/>
  <c r="K377" i="2"/>
  <c r="J377" i="2"/>
  <c r="W376" i="2"/>
  <c r="V376" i="2"/>
  <c r="U376" i="2"/>
  <c r="T376" i="2"/>
  <c r="S376" i="2"/>
  <c r="R376" i="2"/>
  <c r="L376" i="2"/>
  <c r="K376" i="2"/>
  <c r="J376" i="2"/>
  <c r="W375" i="2"/>
  <c r="V375" i="2"/>
  <c r="U375" i="2"/>
  <c r="T375" i="2"/>
  <c r="S375" i="2"/>
  <c r="R375" i="2"/>
  <c r="L375" i="2"/>
  <c r="K375" i="2"/>
  <c r="J375" i="2"/>
  <c r="W374" i="2"/>
  <c r="V374" i="2"/>
  <c r="U374" i="2"/>
  <c r="T374" i="2"/>
  <c r="S374" i="2"/>
  <c r="R374" i="2"/>
  <c r="L374" i="2"/>
  <c r="K374" i="2"/>
  <c r="J374" i="2"/>
  <c r="W373" i="2"/>
  <c r="V373" i="2"/>
  <c r="U373" i="2"/>
  <c r="T373" i="2"/>
  <c r="S373" i="2"/>
  <c r="R373" i="2"/>
  <c r="L373" i="2"/>
  <c r="K373" i="2"/>
  <c r="J373" i="2"/>
  <c r="W372" i="2"/>
  <c r="V372" i="2"/>
  <c r="U372" i="2"/>
  <c r="T372" i="2"/>
  <c r="S372" i="2"/>
  <c r="R372" i="2"/>
  <c r="L372" i="2"/>
  <c r="K372" i="2"/>
  <c r="J372" i="2"/>
  <c r="W371" i="2"/>
  <c r="V371" i="2"/>
  <c r="U371" i="2"/>
  <c r="T371" i="2"/>
  <c r="S371" i="2"/>
  <c r="R371" i="2"/>
  <c r="L371" i="2"/>
  <c r="K371" i="2"/>
  <c r="J371" i="2"/>
  <c r="W370" i="2"/>
  <c r="V370" i="2"/>
  <c r="U370" i="2"/>
  <c r="T370" i="2"/>
  <c r="S370" i="2"/>
  <c r="R370" i="2"/>
  <c r="L370" i="2"/>
  <c r="K370" i="2"/>
  <c r="J370" i="2"/>
  <c r="W369" i="2"/>
  <c r="V369" i="2"/>
  <c r="U369" i="2"/>
  <c r="T369" i="2"/>
  <c r="S369" i="2"/>
  <c r="R369" i="2"/>
  <c r="L369" i="2"/>
  <c r="K369" i="2"/>
  <c r="J369" i="2"/>
  <c r="W368" i="2"/>
  <c r="V368" i="2"/>
  <c r="U368" i="2"/>
  <c r="T368" i="2"/>
  <c r="S368" i="2"/>
  <c r="R368" i="2"/>
  <c r="L368" i="2"/>
  <c r="K368" i="2"/>
  <c r="J368" i="2"/>
  <c r="W367" i="2"/>
  <c r="V367" i="2"/>
  <c r="U367" i="2"/>
  <c r="T367" i="2"/>
  <c r="S367" i="2"/>
  <c r="R367" i="2"/>
  <c r="L367" i="2"/>
  <c r="K367" i="2"/>
  <c r="J367" i="2"/>
  <c r="W366" i="2"/>
  <c r="V366" i="2"/>
  <c r="U366" i="2"/>
  <c r="T366" i="2"/>
  <c r="S366" i="2"/>
  <c r="R366" i="2"/>
  <c r="L366" i="2"/>
  <c r="K366" i="2"/>
  <c r="J366" i="2"/>
  <c r="W365" i="2"/>
  <c r="V365" i="2"/>
  <c r="U365" i="2"/>
  <c r="T365" i="2"/>
  <c r="S365" i="2"/>
  <c r="R365" i="2"/>
  <c r="L365" i="2"/>
  <c r="K365" i="2"/>
  <c r="J365" i="2"/>
  <c r="W364" i="2"/>
  <c r="V364" i="2"/>
  <c r="U364" i="2"/>
  <c r="T364" i="2"/>
  <c r="S364" i="2"/>
  <c r="R364" i="2"/>
  <c r="L364" i="2"/>
  <c r="K364" i="2"/>
  <c r="J364" i="2"/>
  <c r="W363" i="2"/>
  <c r="V363" i="2"/>
  <c r="U363" i="2"/>
  <c r="T363" i="2"/>
  <c r="S363" i="2"/>
  <c r="R363" i="2"/>
  <c r="L363" i="2"/>
  <c r="K363" i="2"/>
  <c r="J363" i="2"/>
  <c r="W362" i="2"/>
  <c r="V362" i="2"/>
  <c r="U362" i="2"/>
  <c r="T362" i="2"/>
  <c r="S362" i="2"/>
  <c r="R362" i="2"/>
  <c r="L362" i="2"/>
  <c r="K362" i="2"/>
  <c r="J362" i="2"/>
  <c r="W361" i="2"/>
  <c r="V361" i="2"/>
  <c r="U361" i="2"/>
  <c r="T361" i="2"/>
  <c r="S361" i="2"/>
  <c r="R361" i="2"/>
  <c r="L361" i="2"/>
  <c r="K361" i="2"/>
  <c r="J361" i="2"/>
  <c r="W360" i="2"/>
  <c r="V360" i="2"/>
  <c r="U360" i="2"/>
  <c r="T360" i="2"/>
  <c r="S360" i="2"/>
  <c r="R360" i="2"/>
  <c r="L360" i="2"/>
  <c r="K360" i="2"/>
  <c r="J360" i="2"/>
  <c r="W359" i="2"/>
  <c r="V359" i="2"/>
  <c r="U359" i="2"/>
  <c r="T359" i="2"/>
  <c r="S359" i="2"/>
  <c r="R359" i="2"/>
  <c r="L359" i="2"/>
  <c r="K359" i="2"/>
  <c r="J359" i="2"/>
  <c r="W358" i="2"/>
  <c r="V358" i="2"/>
  <c r="U358" i="2"/>
  <c r="T358" i="2"/>
  <c r="S358" i="2"/>
  <c r="R358" i="2"/>
  <c r="L358" i="2"/>
  <c r="K358" i="2"/>
  <c r="J358" i="2"/>
  <c r="W357" i="2"/>
  <c r="V357" i="2"/>
  <c r="U357" i="2"/>
  <c r="T357" i="2"/>
  <c r="S357" i="2"/>
  <c r="R357" i="2"/>
  <c r="L357" i="2"/>
  <c r="K357" i="2"/>
  <c r="J357" i="2"/>
  <c r="W356" i="2"/>
  <c r="V356" i="2"/>
  <c r="U356" i="2"/>
  <c r="T356" i="2"/>
  <c r="S356" i="2"/>
  <c r="R356" i="2"/>
  <c r="L356" i="2"/>
  <c r="K356" i="2"/>
  <c r="J356" i="2"/>
  <c r="W355" i="2"/>
  <c r="V355" i="2"/>
  <c r="U355" i="2"/>
  <c r="T355" i="2"/>
  <c r="S355" i="2"/>
  <c r="R355" i="2"/>
  <c r="L355" i="2"/>
  <c r="K355" i="2"/>
  <c r="J355" i="2"/>
  <c r="W354" i="2"/>
  <c r="V354" i="2"/>
  <c r="U354" i="2"/>
  <c r="T354" i="2"/>
  <c r="S354" i="2"/>
  <c r="R354" i="2"/>
  <c r="L354" i="2"/>
  <c r="K354" i="2"/>
  <c r="J354" i="2"/>
  <c r="W353" i="2"/>
  <c r="V353" i="2"/>
  <c r="U353" i="2"/>
  <c r="T353" i="2"/>
  <c r="S353" i="2"/>
  <c r="R353" i="2"/>
  <c r="L353" i="2"/>
  <c r="K353" i="2"/>
  <c r="J353" i="2"/>
  <c r="W352" i="2"/>
  <c r="V352" i="2"/>
  <c r="U352" i="2"/>
  <c r="T352" i="2"/>
  <c r="S352" i="2"/>
  <c r="R352" i="2"/>
  <c r="L352" i="2"/>
  <c r="K352" i="2"/>
  <c r="J352" i="2"/>
  <c r="W351" i="2"/>
  <c r="V351" i="2"/>
  <c r="U351" i="2"/>
  <c r="T351" i="2"/>
  <c r="S351" i="2"/>
  <c r="R351" i="2"/>
  <c r="L351" i="2"/>
  <c r="K351" i="2"/>
  <c r="J351" i="2"/>
  <c r="W350" i="2"/>
  <c r="V350" i="2"/>
  <c r="U350" i="2"/>
  <c r="T350" i="2"/>
  <c r="S350" i="2"/>
  <c r="R350" i="2"/>
  <c r="L350" i="2"/>
  <c r="K350" i="2"/>
  <c r="J350" i="2"/>
  <c r="W349" i="2"/>
  <c r="V349" i="2"/>
  <c r="U349" i="2"/>
  <c r="T349" i="2"/>
  <c r="S349" i="2"/>
  <c r="R349" i="2"/>
  <c r="L349" i="2"/>
  <c r="K349" i="2"/>
  <c r="J349" i="2"/>
  <c r="W348" i="2"/>
  <c r="V348" i="2"/>
  <c r="U348" i="2"/>
  <c r="T348" i="2"/>
  <c r="S348" i="2"/>
  <c r="R348" i="2"/>
  <c r="L348" i="2"/>
  <c r="K348" i="2"/>
  <c r="J348" i="2"/>
  <c r="W347" i="2"/>
  <c r="V347" i="2"/>
  <c r="U347" i="2"/>
  <c r="T347" i="2"/>
  <c r="S347" i="2"/>
  <c r="R347" i="2"/>
  <c r="L347" i="2"/>
  <c r="K347" i="2"/>
  <c r="J347" i="2"/>
  <c r="W346" i="2"/>
  <c r="V346" i="2"/>
  <c r="U346" i="2"/>
  <c r="T346" i="2"/>
  <c r="S346" i="2"/>
  <c r="R346" i="2"/>
  <c r="L346" i="2"/>
  <c r="K346" i="2"/>
  <c r="J346" i="2"/>
  <c r="W345" i="2"/>
  <c r="V345" i="2"/>
  <c r="U345" i="2"/>
  <c r="T345" i="2"/>
  <c r="S345" i="2"/>
  <c r="R345" i="2"/>
  <c r="L345" i="2"/>
  <c r="K345" i="2"/>
  <c r="J345" i="2"/>
  <c r="W344" i="2"/>
  <c r="V344" i="2"/>
  <c r="U344" i="2"/>
  <c r="T344" i="2"/>
  <c r="S344" i="2"/>
  <c r="R344" i="2"/>
  <c r="L344" i="2"/>
  <c r="K344" i="2"/>
  <c r="J344" i="2"/>
  <c r="W343" i="2"/>
  <c r="V343" i="2"/>
  <c r="U343" i="2"/>
  <c r="T343" i="2"/>
  <c r="S343" i="2"/>
  <c r="R343" i="2"/>
  <c r="L343" i="2"/>
  <c r="K343" i="2"/>
  <c r="J343" i="2"/>
  <c r="W342" i="2"/>
  <c r="V342" i="2"/>
  <c r="U342" i="2"/>
  <c r="T342" i="2"/>
  <c r="S342" i="2"/>
  <c r="R342" i="2"/>
  <c r="L342" i="2"/>
  <c r="K342" i="2"/>
  <c r="J342" i="2"/>
  <c r="W341" i="2"/>
  <c r="V341" i="2"/>
  <c r="U341" i="2"/>
  <c r="T341" i="2"/>
  <c r="S341" i="2"/>
  <c r="R341" i="2"/>
  <c r="L341" i="2"/>
  <c r="K341" i="2"/>
  <c r="J341" i="2"/>
  <c r="W340" i="2"/>
  <c r="V340" i="2"/>
  <c r="U340" i="2"/>
  <c r="T340" i="2"/>
  <c r="S340" i="2"/>
  <c r="R340" i="2"/>
  <c r="L340" i="2"/>
  <c r="K340" i="2"/>
  <c r="J340" i="2"/>
  <c r="W339" i="2"/>
  <c r="V339" i="2"/>
  <c r="U339" i="2"/>
  <c r="T339" i="2"/>
  <c r="S339" i="2"/>
  <c r="R339" i="2"/>
  <c r="L339" i="2"/>
  <c r="K339" i="2"/>
  <c r="J339" i="2"/>
  <c r="W338" i="2"/>
  <c r="V338" i="2"/>
  <c r="U338" i="2"/>
  <c r="T338" i="2"/>
  <c r="S338" i="2"/>
  <c r="R338" i="2"/>
  <c r="L338" i="2"/>
  <c r="K338" i="2"/>
  <c r="J338" i="2"/>
  <c r="W337" i="2"/>
  <c r="V337" i="2"/>
  <c r="U337" i="2"/>
  <c r="T337" i="2"/>
  <c r="S337" i="2"/>
  <c r="R337" i="2"/>
  <c r="L337" i="2"/>
  <c r="K337" i="2"/>
  <c r="J337" i="2"/>
  <c r="W336" i="2"/>
  <c r="V336" i="2"/>
  <c r="U336" i="2"/>
  <c r="T336" i="2"/>
  <c r="S336" i="2"/>
  <c r="R336" i="2"/>
  <c r="L336" i="2"/>
  <c r="K336" i="2"/>
  <c r="J336" i="2"/>
  <c r="W335" i="2"/>
  <c r="V335" i="2"/>
  <c r="U335" i="2"/>
  <c r="T335" i="2"/>
  <c r="S335" i="2"/>
  <c r="R335" i="2"/>
  <c r="L335" i="2"/>
  <c r="K335" i="2"/>
  <c r="J335" i="2"/>
  <c r="W334" i="2"/>
  <c r="V334" i="2"/>
  <c r="U334" i="2"/>
  <c r="T334" i="2"/>
  <c r="S334" i="2"/>
  <c r="R334" i="2"/>
  <c r="L334" i="2"/>
  <c r="K334" i="2"/>
  <c r="J334" i="2"/>
  <c r="W333" i="2"/>
  <c r="V333" i="2"/>
  <c r="U333" i="2"/>
  <c r="T333" i="2"/>
  <c r="S333" i="2"/>
  <c r="R333" i="2"/>
  <c r="L333" i="2"/>
  <c r="K333" i="2"/>
  <c r="J333" i="2"/>
  <c r="W332" i="2"/>
  <c r="V332" i="2"/>
  <c r="U332" i="2"/>
  <c r="T332" i="2"/>
  <c r="S332" i="2"/>
  <c r="R332" i="2"/>
  <c r="L332" i="2"/>
  <c r="K332" i="2"/>
  <c r="J332" i="2"/>
  <c r="W331" i="2"/>
  <c r="V331" i="2"/>
  <c r="U331" i="2"/>
  <c r="T331" i="2"/>
  <c r="S331" i="2"/>
  <c r="R331" i="2"/>
  <c r="L331" i="2"/>
  <c r="K331" i="2"/>
  <c r="J331" i="2"/>
  <c r="W330" i="2"/>
  <c r="V330" i="2"/>
  <c r="U330" i="2"/>
  <c r="T330" i="2"/>
  <c r="S330" i="2"/>
  <c r="R330" i="2"/>
  <c r="L330" i="2"/>
  <c r="K330" i="2"/>
  <c r="J330" i="2"/>
  <c r="W329" i="2"/>
  <c r="V329" i="2"/>
  <c r="U329" i="2"/>
  <c r="T329" i="2"/>
  <c r="S329" i="2"/>
  <c r="R329" i="2"/>
  <c r="L329" i="2"/>
  <c r="K329" i="2"/>
  <c r="J329" i="2"/>
  <c r="W328" i="2"/>
  <c r="V328" i="2"/>
  <c r="U328" i="2"/>
  <c r="T328" i="2"/>
  <c r="S328" i="2"/>
  <c r="R328" i="2"/>
  <c r="L328" i="2"/>
  <c r="K328" i="2"/>
  <c r="J328" i="2"/>
  <c r="W327" i="2"/>
  <c r="V327" i="2"/>
  <c r="U327" i="2"/>
  <c r="T327" i="2"/>
  <c r="S327" i="2"/>
  <c r="R327" i="2"/>
  <c r="L327" i="2"/>
  <c r="K327" i="2"/>
  <c r="J327" i="2"/>
  <c r="W326" i="2"/>
  <c r="V326" i="2"/>
  <c r="U326" i="2"/>
  <c r="T326" i="2"/>
  <c r="S326" i="2"/>
  <c r="R326" i="2"/>
  <c r="L326" i="2"/>
  <c r="K326" i="2"/>
  <c r="J326" i="2"/>
  <c r="W325" i="2"/>
  <c r="V325" i="2"/>
  <c r="U325" i="2"/>
  <c r="T325" i="2"/>
  <c r="S325" i="2"/>
  <c r="R325" i="2"/>
  <c r="L325" i="2"/>
  <c r="K325" i="2"/>
  <c r="J325" i="2"/>
  <c r="W324" i="2"/>
  <c r="V324" i="2"/>
  <c r="U324" i="2"/>
  <c r="T324" i="2"/>
  <c r="S324" i="2"/>
  <c r="R324" i="2"/>
  <c r="L324" i="2"/>
  <c r="K324" i="2"/>
  <c r="J324" i="2"/>
  <c r="W323" i="2"/>
  <c r="V323" i="2"/>
  <c r="U323" i="2"/>
  <c r="T323" i="2"/>
  <c r="S323" i="2"/>
  <c r="R323" i="2"/>
  <c r="L323" i="2"/>
  <c r="K323" i="2"/>
  <c r="J323" i="2"/>
  <c r="W322" i="2"/>
  <c r="V322" i="2"/>
  <c r="U322" i="2"/>
  <c r="T322" i="2"/>
  <c r="S322" i="2"/>
  <c r="R322" i="2"/>
  <c r="L322" i="2"/>
  <c r="K322" i="2"/>
  <c r="J322" i="2"/>
  <c r="W321" i="2"/>
  <c r="V321" i="2"/>
  <c r="U321" i="2"/>
  <c r="T321" i="2"/>
  <c r="S321" i="2"/>
  <c r="R321" i="2"/>
  <c r="L321" i="2"/>
  <c r="K321" i="2"/>
  <c r="J321" i="2"/>
  <c r="W320" i="2"/>
  <c r="V320" i="2"/>
  <c r="U320" i="2"/>
  <c r="T320" i="2"/>
  <c r="S320" i="2"/>
  <c r="R320" i="2"/>
  <c r="L320" i="2"/>
  <c r="K320" i="2"/>
  <c r="J320" i="2"/>
  <c r="W319" i="2"/>
  <c r="V319" i="2"/>
  <c r="U319" i="2"/>
  <c r="T319" i="2"/>
  <c r="S319" i="2"/>
  <c r="R319" i="2"/>
  <c r="L319" i="2"/>
  <c r="K319" i="2"/>
  <c r="J319" i="2"/>
  <c r="W318" i="2"/>
  <c r="V318" i="2"/>
  <c r="U318" i="2"/>
  <c r="T318" i="2"/>
  <c r="S318" i="2"/>
  <c r="R318" i="2"/>
  <c r="L318" i="2"/>
  <c r="K318" i="2"/>
  <c r="J318" i="2"/>
  <c r="W317" i="2"/>
  <c r="V317" i="2"/>
  <c r="U317" i="2"/>
  <c r="T317" i="2"/>
  <c r="S317" i="2"/>
  <c r="R317" i="2"/>
  <c r="L317" i="2"/>
  <c r="K317" i="2"/>
  <c r="J317" i="2"/>
  <c r="W316" i="2"/>
  <c r="V316" i="2"/>
  <c r="U316" i="2"/>
  <c r="T316" i="2"/>
  <c r="S316" i="2"/>
  <c r="R316" i="2"/>
  <c r="L316" i="2"/>
  <c r="K316" i="2"/>
  <c r="J316" i="2"/>
  <c r="W315" i="2"/>
  <c r="V315" i="2"/>
  <c r="U315" i="2"/>
  <c r="T315" i="2"/>
  <c r="S315" i="2"/>
  <c r="R315" i="2"/>
  <c r="L315" i="2"/>
  <c r="K315" i="2"/>
  <c r="J315" i="2"/>
  <c r="W314" i="2"/>
  <c r="V314" i="2"/>
  <c r="U314" i="2"/>
  <c r="T314" i="2"/>
  <c r="S314" i="2"/>
  <c r="R314" i="2"/>
  <c r="L314" i="2"/>
  <c r="K314" i="2"/>
  <c r="J314" i="2"/>
  <c r="W313" i="2"/>
  <c r="V313" i="2"/>
  <c r="U313" i="2"/>
  <c r="T313" i="2"/>
  <c r="S313" i="2"/>
  <c r="R313" i="2"/>
  <c r="L313" i="2"/>
  <c r="K313" i="2"/>
  <c r="J313" i="2"/>
  <c r="W312" i="2"/>
  <c r="V312" i="2"/>
  <c r="U312" i="2"/>
  <c r="T312" i="2"/>
  <c r="S312" i="2"/>
  <c r="R312" i="2"/>
  <c r="L312" i="2"/>
  <c r="K312" i="2"/>
  <c r="J312" i="2"/>
  <c r="W311" i="2"/>
  <c r="V311" i="2"/>
  <c r="U311" i="2"/>
  <c r="T311" i="2"/>
  <c r="S311" i="2"/>
  <c r="R311" i="2"/>
  <c r="L311" i="2"/>
  <c r="K311" i="2"/>
  <c r="J311" i="2"/>
  <c r="W310" i="2"/>
  <c r="V310" i="2"/>
  <c r="U310" i="2"/>
  <c r="T310" i="2"/>
  <c r="S310" i="2"/>
  <c r="R310" i="2"/>
  <c r="L310" i="2"/>
  <c r="K310" i="2"/>
  <c r="J310" i="2"/>
  <c r="W309" i="2"/>
  <c r="V309" i="2"/>
  <c r="U309" i="2"/>
  <c r="T309" i="2"/>
  <c r="S309" i="2"/>
  <c r="R309" i="2"/>
  <c r="L309" i="2"/>
  <c r="K309" i="2"/>
  <c r="J309" i="2"/>
  <c r="W308" i="2"/>
  <c r="V308" i="2"/>
  <c r="U308" i="2"/>
  <c r="T308" i="2"/>
  <c r="S308" i="2"/>
  <c r="R308" i="2"/>
  <c r="L308" i="2"/>
  <c r="K308" i="2"/>
  <c r="J308" i="2"/>
  <c r="W307" i="2"/>
  <c r="V307" i="2"/>
  <c r="U307" i="2"/>
  <c r="T307" i="2"/>
  <c r="S307" i="2"/>
  <c r="R307" i="2"/>
  <c r="L307" i="2"/>
  <c r="K307" i="2"/>
  <c r="J307" i="2"/>
  <c r="W306" i="2"/>
  <c r="V306" i="2"/>
  <c r="U306" i="2"/>
  <c r="T306" i="2"/>
  <c r="S306" i="2"/>
  <c r="R306" i="2"/>
  <c r="L306" i="2"/>
  <c r="K306" i="2"/>
  <c r="J306" i="2"/>
  <c r="W305" i="2"/>
  <c r="V305" i="2"/>
  <c r="U305" i="2"/>
  <c r="T305" i="2"/>
  <c r="S305" i="2"/>
  <c r="R305" i="2"/>
  <c r="L305" i="2"/>
  <c r="K305" i="2"/>
  <c r="J305" i="2"/>
  <c r="W304" i="2"/>
  <c r="V304" i="2"/>
  <c r="U304" i="2"/>
  <c r="T304" i="2"/>
  <c r="S304" i="2"/>
  <c r="R304" i="2"/>
  <c r="L304" i="2"/>
  <c r="K304" i="2"/>
  <c r="J304" i="2"/>
  <c r="W303" i="2"/>
  <c r="V303" i="2"/>
  <c r="U303" i="2"/>
  <c r="T303" i="2"/>
  <c r="S303" i="2"/>
  <c r="R303" i="2"/>
  <c r="L303" i="2"/>
  <c r="K303" i="2"/>
  <c r="J303" i="2"/>
  <c r="W302" i="2"/>
  <c r="V302" i="2"/>
  <c r="U302" i="2"/>
  <c r="T302" i="2"/>
  <c r="S302" i="2"/>
  <c r="R302" i="2"/>
  <c r="L302" i="2"/>
  <c r="K302" i="2"/>
  <c r="J302" i="2"/>
  <c r="W301" i="2"/>
  <c r="V301" i="2"/>
  <c r="U301" i="2"/>
  <c r="T301" i="2"/>
  <c r="S301" i="2"/>
  <c r="R301" i="2"/>
  <c r="L301" i="2"/>
  <c r="K301" i="2"/>
  <c r="J301" i="2"/>
  <c r="W300" i="2"/>
  <c r="V300" i="2"/>
  <c r="U300" i="2"/>
  <c r="T300" i="2"/>
  <c r="S300" i="2"/>
  <c r="R300" i="2"/>
  <c r="L300" i="2"/>
  <c r="K300" i="2"/>
  <c r="J300" i="2"/>
  <c r="W299" i="2"/>
  <c r="V299" i="2"/>
  <c r="U299" i="2"/>
  <c r="T299" i="2"/>
  <c r="S299" i="2"/>
  <c r="R299" i="2"/>
  <c r="L299" i="2"/>
  <c r="K299" i="2"/>
  <c r="J299" i="2"/>
  <c r="W298" i="2"/>
  <c r="V298" i="2"/>
  <c r="U298" i="2"/>
  <c r="T298" i="2"/>
  <c r="S298" i="2"/>
  <c r="R298" i="2"/>
  <c r="L298" i="2"/>
  <c r="K298" i="2"/>
  <c r="J298" i="2"/>
  <c r="W297" i="2"/>
  <c r="V297" i="2"/>
  <c r="U297" i="2"/>
  <c r="T297" i="2"/>
  <c r="S297" i="2"/>
  <c r="R297" i="2"/>
  <c r="L297" i="2"/>
  <c r="K297" i="2"/>
  <c r="J297" i="2"/>
  <c r="W296" i="2"/>
  <c r="V296" i="2"/>
  <c r="U296" i="2"/>
  <c r="T296" i="2"/>
  <c r="S296" i="2"/>
  <c r="R296" i="2"/>
  <c r="L296" i="2"/>
  <c r="K296" i="2"/>
  <c r="J296" i="2"/>
  <c r="W295" i="2"/>
  <c r="V295" i="2"/>
  <c r="U295" i="2"/>
  <c r="T295" i="2"/>
  <c r="S295" i="2"/>
  <c r="R295" i="2"/>
  <c r="L295" i="2"/>
  <c r="K295" i="2"/>
  <c r="J295" i="2"/>
  <c r="W294" i="2"/>
  <c r="V294" i="2"/>
  <c r="U294" i="2"/>
  <c r="T294" i="2"/>
  <c r="S294" i="2"/>
  <c r="R294" i="2"/>
  <c r="L294" i="2"/>
  <c r="K294" i="2"/>
  <c r="J294" i="2"/>
  <c r="W293" i="2"/>
  <c r="V293" i="2"/>
  <c r="U293" i="2"/>
  <c r="T293" i="2"/>
  <c r="S293" i="2"/>
  <c r="R293" i="2"/>
  <c r="L293" i="2"/>
  <c r="K293" i="2"/>
  <c r="J293" i="2"/>
  <c r="W292" i="2"/>
  <c r="V292" i="2"/>
  <c r="U292" i="2"/>
  <c r="T292" i="2"/>
  <c r="S292" i="2"/>
  <c r="R292" i="2"/>
  <c r="L292" i="2"/>
  <c r="K292" i="2"/>
  <c r="J292" i="2"/>
  <c r="W291" i="2"/>
  <c r="V291" i="2"/>
  <c r="U291" i="2"/>
  <c r="T291" i="2"/>
  <c r="S291" i="2"/>
  <c r="R291" i="2"/>
  <c r="L291" i="2"/>
  <c r="K291" i="2"/>
  <c r="J291" i="2"/>
  <c r="W290" i="2"/>
  <c r="V290" i="2"/>
  <c r="U290" i="2"/>
  <c r="T290" i="2"/>
  <c r="S290" i="2"/>
  <c r="R290" i="2"/>
  <c r="L290" i="2"/>
  <c r="K290" i="2"/>
  <c r="J290" i="2"/>
  <c r="W289" i="2"/>
  <c r="V289" i="2"/>
  <c r="U289" i="2"/>
  <c r="T289" i="2"/>
  <c r="S289" i="2"/>
  <c r="R289" i="2"/>
  <c r="L289" i="2"/>
  <c r="K289" i="2"/>
  <c r="J289" i="2"/>
  <c r="W288" i="2"/>
  <c r="V288" i="2"/>
  <c r="U288" i="2"/>
  <c r="T288" i="2"/>
  <c r="S288" i="2"/>
  <c r="R288" i="2"/>
  <c r="L288" i="2"/>
  <c r="K288" i="2"/>
  <c r="J288" i="2"/>
  <c r="W287" i="2"/>
  <c r="V287" i="2"/>
  <c r="U287" i="2"/>
  <c r="T287" i="2"/>
  <c r="S287" i="2"/>
  <c r="R287" i="2"/>
  <c r="L287" i="2"/>
  <c r="K287" i="2"/>
  <c r="J287" i="2"/>
  <c r="W286" i="2"/>
  <c r="V286" i="2"/>
  <c r="U286" i="2"/>
  <c r="T286" i="2"/>
  <c r="S286" i="2"/>
  <c r="R286" i="2"/>
  <c r="L286" i="2"/>
  <c r="K286" i="2"/>
  <c r="J286" i="2"/>
  <c r="W285" i="2"/>
  <c r="V285" i="2"/>
  <c r="U285" i="2"/>
  <c r="T285" i="2"/>
  <c r="S285" i="2"/>
  <c r="R285" i="2"/>
  <c r="L285" i="2"/>
  <c r="K285" i="2"/>
  <c r="J285" i="2"/>
  <c r="W284" i="2"/>
  <c r="V284" i="2"/>
  <c r="U284" i="2"/>
  <c r="T284" i="2"/>
  <c r="S284" i="2"/>
  <c r="R284" i="2"/>
  <c r="L284" i="2"/>
  <c r="K284" i="2"/>
  <c r="J284" i="2"/>
  <c r="W283" i="2"/>
  <c r="V283" i="2"/>
  <c r="U283" i="2"/>
  <c r="T283" i="2"/>
  <c r="S283" i="2"/>
  <c r="R283" i="2"/>
  <c r="L283" i="2"/>
  <c r="K283" i="2"/>
  <c r="J283" i="2"/>
  <c r="W282" i="2"/>
  <c r="V282" i="2"/>
  <c r="U282" i="2"/>
  <c r="T282" i="2"/>
  <c r="S282" i="2"/>
  <c r="R282" i="2"/>
  <c r="L282" i="2"/>
  <c r="K282" i="2"/>
  <c r="J282" i="2"/>
  <c r="W281" i="2"/>
  <c r="V281" i="2"/>
  <c r="U281" i="2"/>
  <c r="T281" i="2"/>
  <c r="S281" i="2"/>
  <c r="R281" i="2"/>
  <c r="L281" i="2"/>
  <c r="K281" i="2"/>
  <c r="J281" i="2"/>
  <c r="W280" i="2"/>
  <c r="V280" i="2"/>
  <c r="U280" i="2"/>
  <c r="T280" i="2"/>
  <c r="S280" i="2"/>
  <c r="R280" i="2"/>
  <c r="L280" i="2"/>
  <c r="K280" i="2"/>
  <c r="J280" i="2"/>
  <c r="W279" i="2"/>
  <c r="V279" i="2"/>
  <c r="U279" i="2"/>
  <c r="T279" i="2"/>
  <c r="S279" i="2"/>
  <c r="R279" i="2"/>
  <c r="L279" i="2"/>
  <c r="K279" i="2"/>
  <c r="J279" i="2"/>
  <c r="W278" i="2"/>
  <c r="V278" i="2"/>
  <c r="U278" i="2"/>
  <c r="T278" i="2"/>
  <c r="S278" i="2"/>
  <c r="R278" i="2"/>
  <c r="L278" i="2"/>
  <c r="K278" i="2"/>
  <c r="J278" i="2"/>
  <c r="W277" i="2"/>
  <c r="V277" i="2"/>
  <c r="U277" i="2"/>
  <c r="T277" i="2"/>
  <c r="S277" i="2"/>
  <c r="R277" i="2"/>
  <c r="L277" i="2"/>
  <c r="K277" i="2"/>
  <c r="J277" i="2"/>
  <c r="W276" i="2"/>
  <c r="V276" i="2"/>
  <c r="U276" i="2"/>
  <c r="T276" i="2"/>
  <c r="S276" i="2"/>
  <c r="R276" i="2"/>
  <c r="L276" i="2"/>
  <c r="K276" i="2"/>
  <c r="J276" i="2"/>
  <c r="W275" i="2"/>
  <c r="V275" i="2"/>
  <c r="U275" i="2"/>
  <c r="T275" i="2"/>
  <c r="S275" i="2"/>
  <c r="R275" i="2"/>
  <c r="L275" i="2"/>
  <c r="K275" i="2"/>
  <c r="J275" i="2"/>
  <c r="W274" i="2"/>
  <c r="V274" i="2"/>
  <c r="U274" i="2"/>
  <c r="T274" i="2"/>
  <c r="S274" i="2"/>
  <c r="R274" i="2"/>
  <c r="L274" i="2"/>
  <c r="K274" i="2"/>
  <c r="J274" i="2"/>
  <c r="W273" i="2"/>
  <c r="V273" i="2"/>
  <c r="U273" i="2"/>
  <c r="T273" i="2"/>
  <c r="S273" i="2"/>
  <c r="R273" i="2"/>
  <c r="L273" i="2"/>
  <c r="K273" i="2"/>
  <c r="J273" i="2"/>
  <c r="W272" i="2"/>
  <c r="V272" i="2"/>
  <c r="U272" i="2"/>
  <c r="T272" i="2"/>
  <c r="S272" i="2"/>
  <c r="R272" i="2"/>
  <c r="L272" i="2"/>
  <c r="K272" i="2"/>
  <c r="J272" i="2"/>
  <c r="W271" i="2"/>
  <c r="V271" i="2"/>
  <c r="U271" i="2"/>
  <c r="T271" i="2"/>
  <c r="S271" i="2"/>
  <c r="R271" i="2"/>
  <c r="L271" i="2"/>
  <c r="K271" i="2"/>
  <c r="J271" i="2"/>
  <c r="W270" i="2"/>
  <c r="V270" i="2"/>
  <c r="U270" i="2"/>
  <c r="T270" i="2"/>
  <c r="S270" i="2"/>
  <c r="R270" i="2"/>
  <c r="L270" i="2"/>
  <c r="K270" i="2"/>
  <c r="J270" i="2"/>
  <c r="W269" i="2"/>
  <c r="V269" i="2"/>
  <c r="U269" i="2"/>
  <c r="T269" i="2"/>
  <c r="S269" i="2"/>
  <c r="R269" i="2"/>
  <c r="L269" i="2"/>
  <c r="K269" i="2"/>
  <c r="J269" i="2"/>
  <c r="W268" i="2"/>
  <c r="V268" i="2"/>
  <c r="U268" i="2"/>
  <c r="T268" i="2"/>
  <c r="S268" i="2"/>
  <c r="R268" i="2"/>
  <c r="L268" i="2"/>
  <c r="K268" i="2"/>
  <c r="J268" i="2"/>
  <c r="W267" i="2"/>
  <c r="V267" i="2"/>
  <c r="U267" i="2"/>
  <c r="T267" i="2"/>
  <c r="S267" i="2"/>
  <c r="R267" i="2"/>
  <c r="L267" i="2"/>
  <c r="K267" i="2"/>
  <c r="J267" i="2"/>
  <c r="W266" i="2"/>
  <c r="V266" i="2"/>
  <c r="U266" i="2"/>
  <c r="T266" i="2"/>
  <c r="S266" i="2"/>
  <c r="R266" i="2"/>
  <c r="L266" i="2"/>
  <c r="K266" i="2"/>
  <c r="J266" i="2"/>
  <c r="W265" i="2"/>
  <c r="V265" i="2"/>
  <c r="U265" i="2"/>
  <c r="T265" i="2"/>
  <c r="S265" i="2"/>
  <c r="R265" i="2"/>
  <c r="L265" i="2"/>
  <c r="K265" i="2"/>
  <c r="J265" i="2"/>
  <c r="W264" i="2"/>
  <c r="V264" i="2"/>
  <c r="U264" i="2"/>
  <c r="T264" i="2"/>
  <c r="S264" i="2"/>
  <c r="R264" i="2"/>
  <c r="L264" i="2"/>
  <c r="K264" i="2"/>
  <c r="J264" i="2"/>
  <c r="W263" i="2"/>
  <c r="V263" i="2"/>
  <c r="U263" i="2"/>
  <c r="T263" i="2"/>
  <c r="S263" i="2"/>
  <c r="R263" i="2"/>
  <c r="L263" i="2"/>
  <c r="K263" i="2"/>
  <c r="J263" i="2"/>
  <c r="W262" i="2"/>
  <c r="V262" i="2"/>
  <c r="U262" i="2"/>
  <c r="T262" i="2"/>
  <c r="S262" i="2"/>
  <c r="R262" i="2"/>
  <c r="L262" i="2"/>
  <c r="K262" i="2"/>
  <c r="J262" i="2"/>
  <c r="W261" i="2"/>
  <c r="V261" i="2"/>
  <c r="U261" i="2"/>
  <c r="T261" i="2"/>
  <c r="S261" i="2"/>
  <c r="R261" i="2"/>
  <c r="L261" i="2"/>
  <c r="K261" i="2"/>
  <c r="J261" i="2"/>
  <c r="W260" i="2"/>
  <c r="V260" i="2"/>
  <c r="U260" i="2"/>
  <c r="T260" i="2"/>
  <c r="S260" i="2"/>
  <c r="R260" i="2"/>
  <c r="L260" i="2"/>
  <c r="K260" i="2"/>
  <c r="J260" i="2"/>
  <c r="W259" i="2"/>
  <c r="V259" i="2"/>
  <c r="U259" i="2"/>
  <c r="T259" i="2"/>
  <c r="S259" i="2"/>
  <c r="R259" i="2"/>
  <c r="L259" i="2"/>
  <c r="K259" i="2"/>
  <c r="J259" i="2"/>
  <c r="W258" i="2"/>
  <c r="V258" i="2"/>
  <c r="U258" i="2"/>
  <c r="T258" i="2"/>
  <c r="S258" i="2"/>
  <c r="R258" i="2"/>
  <c r="L258" i="2"/>
  <c r="K258" i="2"/>
  <c r="J258" i="2"/>
  <c r="W257" i="2"/>
  <c r="V257" i="2"/>
  <c r="U257" i="2"/>
  <c r="T257" i="2"/>
  <c r="S257" i="2"/>
  <c r="R257" i="2"/>
  <c r="L257" i="2"/>
  <c r="K257" i="2"/>
  <c r="J257" i="2"/>
  <c r="W256" i="2"/>
  <c r="V256" i="2"/>
  <c r="U256" i="2"/>
  <c r="T256" i="2"/>
  <c r="S256" i="2"/>
  <c r="R256" i="2"/>
  <c r="L256" i="2"/>
  <c r="K256" i="2"/>
  <c r="J256" i="2"/>
  <c r="W255" i="2"/>
  <c r="V255" i="2"/>
  <c r="U255" i="2"/>
  <c r="T255" i="2"/>
  <c r="S255" i="2"/>
  <c r="R255" i="2"/>
  <c r="L255" i="2"/>
  <c r="K255" i="2"/>
  <c r="J255" i="2"/>
  <c r="W254" i="2"/>
  <c r="V254" i="2"/>
  <c r="U254" i="2"/>
  <c r="T254" i="2"/>
  <c r="S254" i="2"/>
  <c r="R254" i="2"/>
  <c r="L254" i="2"/>
  <c r="K254" i="2"/>
  <c r="J254" i="2"/>
  <c r="W253" i="2"/>
  <c r="V253" i="2"/>
  <c r="U253" i="2"/>
  <c r="T253" i="2"/>
  <c r="S253" i="2"/>
  <c r="R253" i="2"/>
  <c r="L253" i="2"/>
  <c r="K253" i="2"/>
  <c r="J253" i="2"/>
  <c r="W252" i="2"/>
  <c r="V252" i="2"/>
  <c r="U252" i="2"/>
  <c r="T252" i="2"/>
  <c r="S252" i="2"/>
  <c r="R252" i="2"/>
  <c r="L252" i="2"/>
  <c r="K252" i="2"/>
  <c r="J252" i="2"/>
  <c r="W251" i="2"/>
  <c r="V251" i="2"/>
  <c r="U251" i="2"/>
  <c r="T251" i="2"/>
  <c r="S251" i="2"/>
  <c r="R251" i="2"/>
  <c r="L251" i="2"/>
  <c r="K251" i="2"/>
  <c r="J251" i="2"/>
  <c r="W250" i="2"/>
  <c r="V250" i="2"/>
  <c r="U250" i="2"/>
  <c r="T250" i="2"/>
  <c r="S250" i="2"/>
  <c r="R250" i="2"/>
  <c r="L250" i="2"/>
  <c r="K250" i="2"/>
  <c r="J250" i="2"/>
  <c r="W249" i="2"/>
  <c r="V249" i="2"/>
  <c r="U249" i="2"/>
  <c r="T249" i="2"/>
  <c r="S249" i="2"/>
  <c r="R249" i="2"/>
  <c r="L249" i="2"/>
  <c r="K249" i="2"/>
  <c r="J249" i="2"/>
  <c r="W248" i="2"/>
  <c r="V248" i="2"/>
  <c r="U248" i="2"/>
  <c r="T248" i="2"/>
  <c r="S248" i="2"/>
  <c r="R248" i="2"/>
  <c r="L248" i="2"/>
  <c r="K248" i="2"/>
  <c r="J248" i="2"/>
  <c r="W247" i="2"/>
  <c r="V247" i="2"/>
  <c r="U247" i="2"/>
  <c r="T247" i="2"/>
  <c r="S247" i="2"/>
  <c r="R247" i="2"/>
  <c r="L247" i="2"/>
  <c r="K247" i="2"/>
  <c r="J247" i="2"/>
  <c r="W246" i="2"/>
  <c r="V246" i="2"/>
  <c r="U246" i="2"/>
  <c r="T246" i="2"/>
  <c r="S246" i="2"/>
  <c r="R246" i="2"/>
  <c r="L246" i="2"/>
  <c r="K246" i="2"/>
  <c r="J246" i="2"/>
  <c r="W245" i="2"/>
  <c r="V245" i="2"/>
  <c r="U245" i="2"/>
  <c r="T245" i="2"/>
  <c r="S245" i="2"/>
  <c r="R245" i="2"/>
  <c r="L245" i="2"/>
  <c r="K245" i="2"/>
  <c r="J245" i="2"/>
  <c r="W244" i="2"/>
  <c r="V244" i="2"/>
  <c r="U244" i="2"/>
  <c r="T244" i="2"/>
  <c r="S244" i="2"/>
  <c r="R244" i="2"/>
  <c r="L244" i="2"/>
  <c r="K244" i="2"/>
  <c r="J244" i="2"/>
  <c r="W243" i="2"/>
  <c r="V243" i="2"/>
  <c r="U243" i="2"/>
  <c r="T243" i="2"/>
  <c r="S243" i="2"/>
  <c r="R243" i="2"/>
  <c r="L243" i="2"/>
  <c r="K243" i="2"/>
  <c r="J243" i="2"/>
  <c r="W242" i="2"/>
  <c r="V242" i="2"/>
  <c r="U242" i="2"/>
  <c r="T242" i="2"/>
  <c r="S242" i="2"/>
  <c r="R242" i="2"/>
  <c r="L242" i="2"/>
  <c r="K242" i="2"/>
  <c r="J242" i="2"/>
  <c r="W241" i="2"/>
  <c r="V241" i="2"/>
  <c r="U241" i="2"/>
  <c r="T241" i="2"/>
  <c r="S241" i="2"/>
  <c r="R241" i="2"/>
  <c r="L241" i="2"/>
  <c r="K241" i="2"/>
  <c r="J241" i="2"/>
  <c r="W240" i="2"/>
  <c r="V240" i="2"/>
  <c r="U240" i="2"/>
  <c r="T240" i="2"/>
  <c r="S240" i="2"/>
  <c r="R240" i="2"/>
  <c r="L240" i="2"/>
  <c r="K240" i="2"/>
  <c r="J240" i="2"/>
  <c r="W239" i="2"/>
  <c r="V239" i="2"/>
  <c r="U239" i="2"/>
  <c r="T239" i="2"/>
  <c r="S239" i="2"/>
  <c r="R239" i="2"/>
  <c r="L239" i="2"/>
  <c r="K239" i="2"/>
  <c r="J239" i="2"/>
  <c r="W238" i="2"/>
  <c r="V238" i="2"/>
  <c r="U238" i="2"/>
  <c r="T238" i="2"/>
  <c r="S238" i="2"/>
  <c r="R238" i="2"/>
  <c r="L238" i="2"/>
  <c r="K238" i="2"/>
  <c r="J238" i="2"/>
  <c r="W237" i="2"/>
  <c r="V237" i="2"/>
  <c r="U237" i="2"/>
  <c r="T237" i="2"/>
  <c r="S237" i="2"/>
  <c r="R237" i="2"/>
  <c r="L237" i="2"/>
  <c r="K237" i="2"/>
  <c r="J237" i="2"/>
  <c r="W236" i="2"/>
  <c r="V236" i="2"/>
  <c r="U236" i="2"/>
  <c r="T236" i="2"/>
  <c r="S236" i="2"/>
  <c r="R236" i="2"/>
  <c r="L236" i="2"/>
  <c r="K236" i="2"/>
  <c r="J236" i="2"/>
  <c r="W235" i="2"/>
  <c r="V235" i="2"/>
  <c r="U235" i="2"/>
  <c r="T235" i="2"/>
  <c r="S235" i="2"/>
  <c r="R235" i="2"/>
  <c r="L235" i="2"/>
  <c r="K235" i="2"/>
  <c r="J235" i="2"/>
  <c r="W234" i="2"/>
  <c r="V234" i="2"/>
  <c r="U234" i="2"/>
  <c r="T234" i="2"/>
  <c r="S234" i="2"/>
  <c r="R234" i="2"/>
  <c r="L234" i="2"/>
  <c r="K234" i="2"/>
  <c r="J234" i="2"/>
  <c r="W233" i="2"/>
  <c r="V233" i="2"/>
  <c r="U233" i="2"/>
  <c r="T233" i="2"/>
  <c r="S233" i="2"/>
  <c r="R233" i="2"/>
  <c r="L233" i="2"/>
  <c r="K233" i="2"/>
  <c r="J233" i="2"/>
  <c r="W232" i="2"/>
  <c r="V232" i="2"/>
  <c r="U232" i="2"/>
  <c r="T232" i="2"/>
  <c r="S232" i="2"/>
  <c r="R232" i="2"/>
  <c r="L232" i="2"/>
  <c r="K232" i="2"/>
  <c r="J232" i="2"/>
  <c r="W231" i="2"/>
  <c r="V231" i="2"/>
  <c r="U231" i="2"/>
  <c r="T231" i="2"/>
  <c r="S231" i="2"/>
  <c r="R231" i="2"/>
  <c r="L231" i="2"/>
  <c r="K231" i="2"/>
  <c r="J231" i="2"/>
  <c r="W230" i="2"/>
  <c r="V230" i="2"/>
  <c r="U230" i="2"/>
  <c r="T230" i="2"/>
  <c r="S230" i="2"/>
  <c r="R230" i="2"/>
  <c r="L230" i="2"/>
  <c r="K230" i="2"/>
  <c r="J230" i="2"/>
  <c r="W229" i="2"/>
  <c r="V229" i="2"/>
  <c r="U229" i="2"/>
  <c r="T229" i="2"/>
  <c r="S229" i="2"/>
  <c r="R229" i="2"/>
  <c r="L229" i="2"/>
  <c r="K229" i="2"/>
  <c r="J229" i="2"/>
  <c r="W228" i="2"/>
  <c r="V228" i="2"/>
  <c r="U228" i="2"/>
  <c r="T228" i="2"/>
  <c r="S228" i="2"/>
  <c r="R228" i="2"/>
  <c r="L228" i="2"/>
  <c r="K228" i="2"/>
  <c r="J228" i="2"/>
  <c r="W227" i="2"/>
  <c r="V227" i="2"/>
  <c r="U227" i="2"/>
  <c r="T227" i="2"/>
  <c r="S227" i="2"/>
  <c r="R227" i="2"/>
  <c r="L227" i="2"/>
  <c r="K227" i="2"/>
  <c r="J227" i="2"/>
  <c r="W226" i="2"/>
  <c r="V226" i="2"/>
  <c r="U226" i="2"/>
  <c r="T226" i="2"/>
  <c r="S226" i="2"/>
  <c r="R226" i="2"/>
  <c r="L226" i="2"/>
  <c r="K226" i="2"/>
  <c r="J226" i="2"/>
  <c r="W225" i="2"/>
  <c r="V225" i="2"/>
  <c r="U225" i="2"/>
  <c r="T225" i="2"/>
  <c r="S225" i="2"/>
  <c r="R225" i="2"/>
  <c r="L225" i="2"/>
  <c r="K225" i="2"/>
  <c r="J225" i="2"/>
  <c r="W224" i="2"/>
  <c r="V224" i="2"/>
  <c r="U224" i="2"/>
  <c r="T224" i="2"/>
  <c r="S224" i="2"/>
  <c r="R224" i="2"/>
  <c r="L224" i="2"/>
  <c r="K224" i="2"/>
  <c r="J224" i="2"/>
  <c r="W223" i="2"/>
  <c r="V223" i="2"/>
  <c r="U223" i="2"/>
  <c r="T223" i="2"/>
  <c r="S223" i="2"/>
  <c r="R223" i="2"/>
  <c r="L223" i="2"/>
  <c r="K223" i="2"/>
  <c r="J223" i="2"/>
  <c r="W222" i="2"/>
  <c r="V222" i="2"/>
  <c r="U222" i="2"/>
  <c r="T222" i="2"/>
  <c r="S222" i="2"/>
  <c r="R222" i="2"/>
  <c r="L222" i="2"/>
  <c r="K222" i="2"/>
  <c r="J222" i="2"/>
  <c r="W221" i="2"/>
  <c r="V221" i="2"/>
  <c r="U221" i="2"/>
  <c r="T221" i="2"/>
  <c r="S221" i="2"/>
  <c r="R221" i="2"/>
  <c r="L221" i="2"/>
  <c r="K221" i="2"/>
  <c r="J221" i="2"/>
  <c r="W220" i="2"/>
  <c r="V220" i="2"/>
  <c r="U220" i="2"/>
  <c r="T220" i="2"/>
  <c r="S220" i="2"/>
  <c r="R220" i="2"/>
  <c r="L220" i="2"/>
  <c r="K220" i="2"/>
  <c r="J220" i="2"/>
  <c r="W219" i="2"/>
  <c r="V219" i="2"/>
  <c r="U219" i="2"/>
  <c r="T219" i="2"/>
  <c r="S219" i="2"/>
  <c r="R219" i="2"/>
  <c r="L219" i="2"/>
  <c r="K219" i="2"/>
  <c r="J219" i="2"/>
  <c r="W218" i="2"/>
  <c r="V218" i="2"/>
  <c r="U218" i="2"/>
  <c r="T218" i="2"/>
  <c r="S218" i="2"/>
  <c r="R218" i="2"/>
  <c r="L218" i="2"/>
  <c r="K218" i="2"/>
  <c r="J218" i="2"/>
  <c r="W217" i="2"/>
  <c r="V217" i="2"/>
  <c r="U217" i="2"/>
  <c r="T217" i="2"/>
  <c r="S217" i="2"/>
  <c r="R217" i="2"/>
  <c r="L217" i="2"/>
  <c r="K217" i="2"/>
  <c r="J217" i="2"/>
  <c r="W216" i="2"/>
  <c r="V216" i="2"/>
  <c r="U216" i="2"/>
  <c r="T216" i="2"/>
  <c r="S216" i="2"/>
  <c r="R216" i="2"/>
  <c r="L216" i="2"/>
  <c r="K216" i="2"/>
  <c r="J216" i="2"/>
  <c r="W215" i="2"/>
  <c r="V215" i="2"/>
  <c r="U215" i="2"/>
  <c r="T215" i="2"/>
  <c r="S215" i="2"/>
  <c r="R215" i="2"/>
  <c r="L215" i="2"/>
  <c r="K215" i="2"/>
  <c r="J215" i="2"/>
  <c r="W214" i="2"/>
  <c r="V214" i="2"/>
  <c r="U214" i="2"/>
  <c r="T214" i="2"/>
  <c r="S214" i="2"/>
  <c r="R214" i="2"/>
  <c r="L214" i="2"/>
  <c r="K214" i="2"/>
  <c r="J214" i="2"/>
  <c r="W213" i="2"/>
  <c r="V213" i="2"/>
  <c r="U213" i="2"/>
  <c r="T213" i="2"/>
  <c r="S213" i="2"/>
  <c r="R213" i="2"/>
  <c r="L213" i="2"/>
  <c r="K213" i="2"/>
  <c r="J213" i="2"/>
  <c r="W212" i="2"/>
  <c r="V212" i="2"/>
  <c r="U212" i="2"/>
  <c r="T212" i="2"/>
  <c r="S212" i="2"/>
  <c r="R212" i="2"/>
  <c r="L212" i="2"/>
  <c r="K212" i="2"/>
  <c r="J212" i="2"/>
  <c r="W211" i="2"/>
  <c r="V211" i="2"/>
  <c r="U211" i="2"/>
  <c r="T211" i="2"/>
  <c r="S211" i="2"/>
  <c r="R211" i="2"/>
  <c r="L211" i="2"/>
  <c r="K211" i="2"/>
  <c r="J211" i="2"/>
  <c r="W210" i="2"/>
  <c r="V210" i="2"/>
  <c r="U210" i="2"/>
  <c r="T210" i="2"/>
  <c r="S210" i="2"/>
  <c r="R210" i="2"/>
  <c r="L210" i="2"/>
  <c r="K210" i="2"/>
  <c r="J210" i="2"/>
  <c r="W209" i="2"/>
  <c r="V209" i="2"/>
  <c r="U209" i="2"/>
  <c r="T209" i="2"/>
  <c r="S209" i="2"/>
  <c r="R209" i="2"/>
  <c r="L209" i="2"/>
  <c r="K209" i="2"/>
  <c r="J209" i="2"/>
  <c r="W208" i="2"/>
  <c r="V208" i="2"/>
  <c r="U208" i="2"/>
  <c r="T208" i="2"/>
  <c r="S208" i="2"/>
  <c r="R208" i="2"/>
  <c r="L208" i="2"/>
  <c r="K208" i="2"/>
  <c r="J208" i="2"/>
  <c r="W207" i="2"/>
  <c r="V207" i="2"/>
  <c r="U207" i="2"/>
  <c r="T207" i="2"/>
  <c r="S207" i="2"/>
  <c r="R207" i="2"/>
  <c r="L207" i="2"/>
  <c r="K207" i="2"/>
  <c r="J207" i="2"/>
  <c r="W206" i="2"/>
  <c r="V206" i="2"/>
  <c r="U206" i="2"/>
  <c r="T206" i="2"/>
  <c r="S206" i="2"/>
  <c r="R206" i="2"/>
  <c r="L206" i="2"/>
  <c r="K206" i="2"/>
  <c r="J206" i="2"/>
  <c r="W205" i="2"/>
  <c r="V205" i="2"/>
  <c r="U205" i="2"/>
  <c r="T205" i="2"/>
  <c r="S205" i="2"/>
  <c r="R205" i="2"/>
  <c r="L205" i="2"/>
  <c r="K205" i="2"/>
  <c r="J205" i="2"/>
  <c r="W204" i="2"/>
  <c r="V204" i="2"/>
  <c r="U204" i="2"/>
  <c r="T204" i="2"/>
  <c r="S204" i="2"/>
  <c r="R204" i="2"/>
  <c r="L204" i="2"/>
  <c r="K204" i="2"/>
  <c r="J204" i="2"/>
  <c r="W203" i="2"/>
  <c r="V203" i="2"/>
  <c r="U203" i="2"/>
  <c r="T203" i="2"/>
  <c r="S203" i="2"/>
  <c r="R203" i="2"/>
  <c r="L203" i="2"/>
  <c r="K203" i="2"/>
  <c r="J203" i="2"/>
  <c r="W202" i="2"/>
  <c r="V202" i="2"/>
  <c r="U202" i="2"/>
  <c r="T202" i="2"/>
  <c r="S202" i="2"/>
  <c r="R202" i="2"/>
  <c r="L202" i="2"/>
  <c r="K202" i="2"/>
  <c r="J202" i="2"/>
  <c r="W201" i="2"/>
  <c r="V201" i="2"/>
  <c r="U201" i="2"/>
  <c r="T201" i="2"/>
  <c r="S201" i="2"/>
  <c r="R201" i="2"/>
  <c r="L201" i="2"/>
  <c r="K201" i="2"/>
  <c r="J201" i="2"/>
  <c r="W200" i="2"/>
  <c r="V200" i="2"/>
  <c r="U200" i="2"/>
  <c r="T200" i="2"/>
  <c r="S200" i="2"/>
  <c r="R200" i="2"/>
  <c r="L200" i="2"/>
  <c r="K200" i="2"/>
  <c r="J200" i="2"/>
  <c r="W199" i="2"/>
  <c r="V199" i="2"/>
  <c r="U199" i="2"/>
  <c r="T199" i="2"/>
  <c r="S199" i="2"/>
  <c r="R199" i="2"/>
  <c r="L199" i="2"/>
  <c r="K199" i="2"/>
  <c r="J199" i="2"/>
  <c r="W198" i="2"/>
  <c r="V198" i="2"/>
  <c r="U198" i="2"/>
  <c r="T198" i="2"/>
  <c r="S198" i="2"/>
  <c r="R198" i="2"/>
  <c r="L198" i="2"/>
  <c r="K198" i="2"/>
  <c r="J198" i="2"/>
  <c r="W197" i="2"/>
  <c r="V197" i="2"/>
  <c r="U197" i="2"/>
  <c r="T197" i="2"/>
  <c r="S197" i="2"/>
  <c r="R197" i="2"/>
  <c r="L197" i="2"/>
  <c r="K197" i="2"/>
  <c r="J197" i="2"/>
  <c r="W196" i="2"/>
  <c r="V196" i="2"/>
  <c r="U196" i="2"/>
  <c r="T196" i="2"/>
  <c r="S196" i="2"/>
  <c r="R196" i="2"/>
  <c r="L196" i="2"/>
  <c r="K196" i="2"/>
  <c r="J196" i="2"/>
  <c r="W195" i="2"/>
  <c r="V195" i="2"/>
  <c r="U195" i="2"/>
  <c r="T195" i="2"/>
  <c r="S195" i="2"/>
  <c r="R195" i="2"/>
  <c r="L195" i="2"/>
  <c r="K195" i="2"/>
  <c r="J195" i="2"/>
  <c r="W194" i="2"/>
  <c r="V194" i="2"/>
  <c r="U194" i="2"/>
  <c r="T194" i="2"/>
  <c r="S194" i="2"/>
  <c r="R194" i="2"/>
  <c r="L194" i="2"/>
  <c r="K194" i="2"/>
  <c r="J194" i="2"/>
  <c r="W193" i="2"/>
  <c r="V193" i="2"/>
  <c r="U193" i="2"/>
  <c r="T193" i="2"/>
  <c r="S193" i="2"/>
  <c r="R193" i="2"/>
  <c r="L193" i="2"/>
  <c r="K193" i="2"/>
  <c r="J193" i="2"/>
  <c r="W192" i="2"/>
  <c r="V192" i="2"/>
  <c r="U192" i="2"/>
  <c r="T192" i="2"/>
  <c r="S192" i="2"/>
  <c r="R192" i="2"/>
  <c r="L192" i="2"/>
  <c r="K192" i="2"/>
  <c r="J192" i="2"/>
  <c r="W191" i="2"/>
  <c r="V191" i="2"/>
  <c r="U191" i="2"/>
  <c r="T191" i="2"/>
  <c r="S191" i="2"/>
  <c r="R191" i="2"/>
  <c r="L191" i="2"/>
  <c r="K191" i="2"/>
  <c r="J191" i="2"/>
  <c r="W190" i="2"/>
  <c r="V190" i="2"/>
  <c r="U190" i="2"/>
  <c r="T190" i="2"/>
  <c r="S190" i="2"/>
  <c r="R190" i="2"/>
  <c r="L190" i="2"/>
  <c r="K190" i="2"/>
  <c r="J190" i="2"/>
  <c r="W189" i="2"/>
  <c r="V189" i="2"/>
  <c r="U189" i="2"/>
  <c r="T189" i="2"/>
  <c r="S189" i="2"/>
  <c r="R189" i="2"/>
  <c r="L189" i="2"/>
  <c r="K189" i="2"/>
  <c r="J189" i="2"/>
  <c r="W188" i="2"/>
  <c r="V188" i="2"/>
  <c r="U188" i="2"/>
  <c r="T188" i="2"/>
  <c r="S188" i="2"/>
  <c r="R188" i="2"/>
  <c r="L188" i="2"/>
  <c r="K188" i="2"/>
  <c r="J188" i="2"/>
  <c r="W187" i="2"/>
  <c r="V187" i="2"/>
  <c r="U187" i="2"/>
  <c r="T187" i="2"/>
  <c r="S187" i="2"/>
  <c r="R187" i="2"/>
  <c r="L187" i="2"/>
  <c r="K187" i="2"/>
  <c r="J187" i="2"/>
  <c r="W186" i="2"/>
  <c r="V186" i="2"/>
  <c r="U186" i="2"/>
  <c r="T186" i="2"/>
  <c r="S186" i="2"/>
  <c r="R186" i="2"/>
  <c r="L186" i="2"/>
  <c r="K186" i="2"/>
  <c r="J186" i="2"/>
  <c r="W185" i="2"/>
  <c r="V185" i="2"/>
  <c r="U185" i="2"/>
  <c r="T185" i="2"/>
  <c r="S185" i="2"/>
  <c r="R185" i="2"/>
  <c r="L185" i="2"/>
  <c r="K185" i="2"/>
  <c r="J185" i="2"/>
  <c r="W184" i="2"/>
  <c r="V184" i="2"/>
  <c r="U184" i="2"/>
  <c r="T184" i="2"/>
  <c r="S184" i="2"/>
  <c r="R184" i="2"/>
  <c r="L184" i="2"/>
  <c r="K184" i="2"/>
  <c r="J184" i="2"/>
  <c r="W183" i="2"/>
  <c r="V183" i="2"/>
  <c r="U183" i="2"/>
  <c r="T183" i="2"/>
  <c r="S183" i="2"/>
  <c r="R183" i="2"/>
  <c r="L183" i="2"/>
  <c r="K183" i="2"/>
  <c r="J183" i="2"/>
  <c r="W182" i="2"/>
  <c r="V182" i="2"/>
  <c r="U182" i="2"/>
  <c r="T182" i="2"/>
  <c r="S182" i="2"/>
  <c r="R182" i="2"/>
  <c r="L182" i="2"/>
  <c r="K182" i="2"/>
  <c r="J182" i="2"/>
  <c r="W181" i="2"/>
  <c r="V181" i="2"/>
  <c r="U181" i="2"/>
  <c r="T181" i="2"/>
  <c r="S181" i="2"/>
  <c r="R181" i="2"/>
  <c r="L181" i="2"/>
  <c r="K181" i="2"/>
  <c r="J181" i="2"/>
  <c r="W180" i="2"/>
  <c r="V180" i="2"/>
  <c r="U180" i="2"/>
  <c r="T180" i="2"/>
  <c r="S180" i="2"/>
  <c r="R180" i="2"/>
  <c r="L180" i="2"/>
  <c r="K180" i="2"/>
  <c r="J180" i="2"/>
  <c r="W179" i="2"/>
  <c r="V179" i="2"/>
  <c r="U179" i="2"/>
  <c r="T179" i="2"/>
  <c r="S179" i="2"/>
  <c r="R179" i="2"/>
  <c r="L179" i="2"/>
  <c r="K179" i="2"/>
  <c r="J179" i="2"/>
  <c r="W178" i="2"/>
  <c r="V178" i="2"/>
  <c r="U178" i="2"/>
  <c r="T178" i="2"/>
  <c r="S178" i="2"/>
  <c r="R178" i="2"/>
  <c r="L178" i="2"/>
  <c r="K178" i="2"/>
  <c r="J178" i="2"/>
  <c r="W177" i="2"/>
  <c r="V177" i="2"/>
  <c r="U177" i="2"/>
  <c r="T177" i="2"/>
  <c r="S177" i="2"/>
  <c r="R177" i="2"/>
  <c r="L177" i="2"/>
  <c r="K177" i="2"/>
  <c r="J177" i="2"/>
  <c r="W176" i="2"/>
  <c r="V176" i="2"/>
  <c r="U176" i="2"/>
  <c r="T176" i="2"/>
  <c r="S176" i="2"/>
  <c r="R176" i="2"/>
  <c r="L176" i="2"/>
  <c r="K176" i="2"/>
  <c r="J176" i="2"/>
  <c r="W175" i="2"/>
  <c r="V175" i="2"/>
  <c r="U175" i="2"/>
  <c r="T175" i="2"/>
  <c r="S175" i="2"/>
  <c r="R175" i="2"/>
  <c r="L175" i="2"/>
  <c r="K175" i="2"/>
  <c r="J175" i="2"/>
  <c r="W174" i="2"/>
  <c r="V174" i="2"/>
  <c r="U174" i="2"/>
  <c r="T174" i="2"/>
  <c r="S174" i="2"/>
  <c r="R174" i="2"/>
  <c r="L174" i="2"/>
  <c r="K174" i="2"/>
  <c r="J174" i="2"/>
  <c r="W173" i="2"/>
  <c r="V173" i="2"/>
  <c r="U173" i="2"/>
  <c r="T173" i="2"/>
  <c r="S173" i="2"/>
  <c r="R173" i="2"/>
  <c r="L173" i="2"/>
  <c r="K173" i="2"/>
  <c r="J173" i="2"/>
  <c r="W172" i="2"/>
  <c r="V172" i="2"/>
  <c r="U172" i="2"/>
  <c r="T172" i="2"/>
  <c r="S172" i="2"/>
  <c r="R172" i="2"/>
  <c r="L172" i="2"/>
  <c r="K172" i="2"/>
  <c r="J172" i="2"/>
  <c r="W171" i="2"/>
  <c r="V171" i="2"/>
  <c r="U171" i="2"/>
  <c r="T171" i="2"/>
  <c r="S171" i="2"/>
  <c r="R171" i="2"/>
  <c r="L171" i="2"/>
  <c r="K171" i="2"/>
  <c r="J171" i="2"/>
  <c r="W170" i="2"/>
  <c r="V170" i="2"/>
  <c r="U170" i="2"/>
  <c r="T170" i="2"/>
  <c r="S170" i="2"/>
  <c r="R170" i="2"/>
  <c r="L170" i="2"/>
  <c r="K170" i="2"/>
  <c r="J170" i="2"/>
  <c r="W169" i="2"/>
  <c r="V169" i="2"/>
  <c r="U169" i="2"/>
  <c r="T169" i="2"/>
  <c r="S169" i="2"/>
  <c r="R169" i="2"/>
  <c r="L169" i="2"/>
  <c r="K169" i="2"/>
  <c r="J169" i="2"/>
  <c r="W168" i="2"/>
  <c r="V168" i="2"/>
  <c r="U168" i="2"/>
  <c r="T168" i="2"/>
  <c r="S168" i="2"/>
  <c r="R168" i="2"/>
  <c r="L168" i="2"/>
  <c r="K168" i="2"/>
  <c r="J168" i="2"/>
  <c r="W167" i="2"/>
  <c r="V167" i="2"/>
  <c r="U167" i="2"/>
  <c r="T167" i="2"/>
  <c r="S167" i="2"/>
  <c r="R167" i="2"/>
  <c r="L167" i="2"/>
  <c r="K167" i="2"/>
  <c r="J167" i="2"/>
  <c r="W166" i="2"/>
  <c r="V166" i="2"/>
  <c r="U166" i="2"/>
  <c r="T166" i="2"/>
  <c r="S166" i="2"/>
  <c r="R166" i="2"/>
  <c r="L166" i="2"/>
  <c r="K166" i="2"/>
  <c r="J166" i="2"/>
  <c r="W165" i="2"/>
  <c r="V165" i="2"/>
  <c r="U165" i="2"/>
  <c r="T165" i="2"/>
  <c r="S165" i="2"/>
  <c r="R165" i="2"/>
  <c r="L165" i="2"/>
  <c r="K165" i="2"/>
  <c r="J165" i="2"/>
  <c r="W164" i="2"/>
  <c r="V164" i="2"/>
  <c r="U164" i="2"/>
  <c r="T164" i="2"/>
  <c r="S164" i="2"/>
  <c r="R164" i="2"/>
  <c r="L164" i="2"/>
  <c r="K164" i="2"/>
  <c r="J164" i="2"/>
  <c r="W163" i="2"/>
  <c r="V163" i="2"/>
  <c r="U163" i="2"/>
  <c r="T163" i="2"/>
  <c r="S163" i="2"/>
  <c r="R163" i="2"/>
  <c r="L163" i="2"/>
  <c r="K163" i="2"/>
  <c r="J163" i="2"/>
  <c r="W162" i="2"/>
  <c r="V162" i="2"/>
  <c r="U162" i="2"/>
  <c r="T162" i="2"/>
  <c r="S162" i="2"/>
  <c r="R162" i="2"/>
  <c r="L162" i="2"/>
  <c r="K162" i="2"/>
  <c r="J162" i="2"/>
  <c r="W161" i="2"/>
  <c r="V161" i="2"/>
  <c r="U161" i="2"/>
  <c r="T161" i="2"/>
  <c r="S161" i="2"/>
  <c r="R161" i="2"/>
  <c r="L161" i="2"/>
  <c r="K161" i="2"/>
  <c r="J161" i="2"/>
  <c r="W160" i="2"/>
  <c r="V160" i="2"/>
  <c r="U160" i="2"/>
  <c r="T160" i="2"/>
  <c r="S160" i="2"/>
  <c r="R160" i="2"/>
  <c r="L160" i="2"/>
  <c r="K160" i="2"/>
  <c r="J160" i="2"/>
  <c r="W159" i="2"/>
  <c r="V159" i="2"/>
  <c r="U159" i="2"/>
  <c r="T159" i="2"/>
  <c r="S159" i="2"/>
  <c r="R159" i="2"/>
  <c r="L159" i="2"/>
  <c r="K159" i="2"/>
  <c r="J159" i="2"/>
  <c r="W158" i="2"/>
  <c r="V158" i="2"/>
  <c r="U158" i="2"/>
  <c r="T158" i="2"/>
  <c r="S158" i="2"/>
  <c r="R158" i="2"/>
  <c r="L158" i="2"/>
  <c r="K158" i="2"/>
  <c r="J158" i="2"/>
  <c r="W157" i="2"/>
  <c r="V157" i="2"/>
  <c r="U157" i="2"/>
  <c r="T157" i="2"/>
  <c r="S157" i="2"/>
  <c r="R157" i="2"/>
  <c r="L157" i="2"/>
  <c r="K157" i="2"/>
  <c r="J157" i="2"/>
  <c r="W156" i="2"/>
  <c r="V156" i="2"/>
  <c r="U156" i="2"/>
  <c r="T156" i="2"/>
  <c r="S156" i="2"/>
  <c r="R156" i="2"/>
  <c r="L156" i="2"/>
  <c r="K156" i="2"/>
  <c r="J156" i="2"/>
  <c r="W155" i="2"/>
  <c r="V155" i="2"/>
  <c r="U155" i="2"/>
  <c r="T155" i="2"/>
  <c r="S155" i="2"/>
  <c r="R155" i="2"/>
  <c r="L155" i="2"/>
  <c r="K155" i="2"/>
  <c r="J155" i="2"/>
  <c r="W154" i="2"/>
  <c r="V154" i="2"/>
  <c r="U154" i="2"/>
  <c r="T154" i="2"/>
  <c r="S154" i="2"/>
  <c r="R154" i="2"/>
  <c r="L154" i="2"/>
  <c r="K154" i="2"/>
  <c r="J154" i="2"/>
  <c r="W153" i="2"/>
  <c r="V153" i="2"/>
  <c r="U153" i="2"/>
  <c r="T153" i="2"/>
  <c r="S153" i="2"/>
  <c r="R153" i="2"/>
  <c r="L153" i="2"/>
  <c r="K153" i="2"/>
  <c r="J153" i="2"/>
  <c r="W152" i="2"/>
  <c r="V152" i="2"/>
  <c r="U152" i="2"/>
  <c r="T152" i="2"/>
  <c r="S152" i="2"/>
  <c r="R152" i="2"/>
  <c r="L152" i="2"/>
  <c r="K152" i="2"/>
  <c r="J152" i="2"/>
  <c r="W151" i="2"/>
  <c r="V151" i="2"/>
  <c r="U151" i="2"/>
  <c r="T151" i="2"/>
  <c r="S151" i="2"/>
  <c r="R151" i="2"/>
  <c r="L151" i="2"/>
  <c r="K151" i="2"/>
  <c r="J151" i="2"/>
  <c r="W150" i="2"/>
  <c r="V150" i="2"/>
  <c r="U150" i="2"/>
  <c r="T150" i="2"/>
  <c r="S150" i="2"/>
  <c r="R150" i="2"/>
  <c r="L150" i="2"/>
  <c r="K150" i="2"/>
  <c r="J150" i="2"/>
  <c r="W149" i="2"/>
  <c r="V149" i="2"/>
  <c r="U149" i="2"/>
  <c r="T149" i="2"/>
  <c r="S149" i="2"/>
  <c r="R149" i="2"/>
  <c r="L149" i="2"/>
  <c r="K149" i="2"/>
  <c r="J149" i="2"/>
  <c r="W148" i="2"/>
  <c r="V148" i="2"/>
  <c r="U148" i="2"/>
  <c r="T148" i="2"/>
  <c r="S148" i="2"/>
  <c r="R148" i="2"/>
  <c r="L148" i="2"/>
  <c r="K148" i="2"/>
  <c r="J148" i="2"/>
  <c r="W147" i="2"/>
  <c r="V147" i="2"/>
  <c r="U147" i="2"/>
  <c r="T147" i="2"/>
  <c r="S147" i="2"/>
  <c r="R147" i="2"/>
  <c r="L147" i="2"/>
  <c r="K147" i="2"/>
  <c r="J147" i="2"/>
  <c r="W146" i="2"/>
  <c r="V146" i="2"/>
  <c r="U146" i="2"/>
  <c r="T146" i="2"/>
  <c r="S146" i="2"/>
  <c r="R146" i="2"/>
  <c r="L146" i="2"/>
  <c r="K146" i="2"/>
  <c r="J146" i="2"/>
  <c r="W145" i="2"/>
  <c r="V145" i="2"/>
  <c r="U145" i="2"/>
  <c r="T145" i="2"/>
  <c r="S145" i="2"/>
  <c r="R145" i="2"/>
  <c r="L145" i="2"/>
  <c r="K145" i="2"/>
  <c r="J145" i="2"/>
  <c r="W144" i="2"/>
  <c r="V144" i="2"/>
  <c r="U144" i="2"/>
  <c r="T144" i="2"/>
  <c r="S144" i="2"/>
  <c r="R144" i="2"/>
  <c r="L144" i="2"/>
  <c r="K144" i="2"/>
  <c r="J144" i="2"/>
  <c r="W143" i="2"/>
  <c r="V143" i="2"/>
  <c r="U143" i="2"/>
  <c r="T143" i="2"/>
  <c r="S143" i="2"/>
  <c r="R143" i="2"/>
  <c r="L143" i="2"/>
  <c r="K143" i="2"/>
  <c r="J143" i="2"/>
  <c r="W142" i="2"/>
  <c r="V142" i="2"/>
  <c r="U142" i="2"/>
  <c r="T142" i="2"/>
  <c r="S142" i="2"/>
  <c r="R142" i="2"/>
  <c r="L142" i="2"/>
  <c r="K142" i="2"/>
  <c r="J142" i="2"/>
  <c r="W141" i="2"/>
  <c r="V141" i="2"/>
  <c r="U141" i="2"/>
  <c r="T141" i="2"/>
  <c r="S141" i="2"/>
  <c r="R141" i="2"/>
  <c r="L141" i="2"/>
  <c r="K141" i="2"/>
  <c r="J141" i="2"/>
  <c r="W140" i="2"/>
  <c r="V140" i="2"/>
  <c r="U140" i="2"/>
  <c r="T140" i="2"/>
  <c r="S140" i="2"/>
  <c r="R140" i="2"/>
  <c r="L140" i="2"/>
  <c r="K140" i="2"/>
  <c r="J140" i="2"/>
  <c r="W139" i="2"/>
  <c r="V139" i="2"/>
  <c r="U139" i="2"/>
  <c r="T139" i="2"/>
  <c r="S139" i="2"/>
  <c r="R139" i="2"/>
  <c r="L139" i="2"/>
  <c r="K139" i="2"/>
  <c r="J139" i="2"/>
  <c r="W138" i="2"/>
  <c r="V138" i="2"/>
  <c r="U138" i="2"/>
  <c r="T138" i="2"/>
  <c r="S138" i="2"/>
  <c r="R138" i="2"/>
  <c r="L138" i="2"/>
  <c r="K138" i="2"/>
  <c r="J138" i="2"/>
  <c r="W137" i="2"/>
  <c r="V137" i="2"/>
  <c r="U137" i="2"/>
  <c r="T137" i="2"/>
  <c r="S137" i="2"/>
  <c r="R137" i="2"/>
  <c r="L137" i="2"/>
  <c r="K137" i="2"/>
  <c r="J137" i="2"/>
  <c r="W136" i="2"/>
  <c r="V136" i="2"/>
  <c r="U136" i="2"/>
  <c r="T136" i="2"/>
  <c r="S136" i="2"/>
  <c r="R136" i="2"/>
  <c r="L136" i="2"/>
  <c r="K136" i="2"/>
  <c r="J136" i="2"/>
  <c r="W135" i="2"/>
  <c r="V135" i="2"/>
  <c r="U135" i="2"/>
  <c r="T135" i="2"/>
  <c r="S135" i="2"/>
  <c r="R135" i="2"/>
  <c r="L135" i="2"/>
  <c r="K135" i="2"/>
  <c r="J135" i="2"/>
  <c r="W134" i="2"/>
  <c r="V134" i="2"/>
  <c r="U134" i="2"/>
  <c r="T134" i="2"/>
  <c r="S134" i="2"/>
  <c r="R134" i="2"/>
  <c r="L134" i="2"/>
  <c r="K134" i="2"/>
  <c r="J134" i="2"/>
  <c r="W133" i="2"/>
  <c r="V133" i="2"/>
  <c r="U133" i="2"/>
  <c r="T133" i="2"/>
  <c r="S133" i="2"/>
  <c r="R133" i="2"/>
  <c r="L133" i="2"/>
  <c r="K133" i="2"/>
  <c r="J133" i="2"/>
  <c r="W132" i="2"/>
  <c r="V132" i="2"/>
  <c r="U132" i="2"/>
  <c r="T132" i="2"/>
  <c r="S132" i="2"/>
  <c r="R132" i="2"/>
  <c r="L132" i="2"/>
  <c r="K132" i="2"/>
  <c r="J132" i="2"/>
  <c r="W131" i="2"/>
  <c r="V131" i="2"/>
  <c r="U131" i="2"/>
  <c r="T131" i="2"/>
  <c r="S131" i="2"/>
  <c r="R131" i="2"/>
  <c r="L131" i="2"/>
  <c r="K131" i="2"/>
  <c r="J131" i="2"/>
  <c r="W130" i="2"/>
  <c r="V130" i="2"/>
  <c r="U130" i="2"/>
  <c r="T130" i="2"/>
  <c r="S130" i="2"/>
  <c r="R130" i="2"/>
  <c r="L130" i="2"/>
  <c r="K130" i="2"/>
  <c r="J130" i="2"/>
  <c r="W129" i="2"/>
  <c r="V129" i="2"/>
  <c r="U129" i="2"/>
  <c r="T129" i="2"/>
  <c r="S129" i="2"/>
  <c r="R129" i="2"/>
  <c r="L129" i="2"/>
  <c r="K129" i="2"/>
  <c r="J129" i="2"/>
  <c r="W128" i="2"/>
  <c r="V128" i="2"/>
  <c r="U128" i="2"/>
  <c r="T128" i="2"/>
  <c r="S128" i="2"/>
  <c r="R128" i="2"/>
  <c r="L128" i="2"/>
  <c r="K128" i="2"/>
  <c r="J128" i="2"/>
  <c r="W127" i="2"/>
  <c r="V127" i="2"/>
  <c r="U127" i="2"/>
  <c r="T127" i="2"/>
  <c r="S127" i="2"/>
  <c r="R127" i="2"/>
  <c r="L127" i="2"/>
  <c r="K127" i="2"/>
  <c r="J127" i="2"/>
  <c r="W126" i="2"/>
  <c r="V126" i="2"/>
  <c r="U126" i="2"/>
  <c r="T126" i="2"/>
  <c r="S126" i="2"/>
  <c r="R126" i="2"/>
  <c r="L126" i="2"/>
  <c r="K126" i="2"/>
  <c r="J126" i="2"/>
  <c r="W125" i="2"/>
  <c r="V125" i="2"/>
  <c r="U125" i="2"/>
  <c r="T125" i="2"/>
  <c r="S125" i="2"/>
  <c r="R125" i="2"/>
  <c r="L125" i="2"/>
  <c r="K125" i="2"/>
  <c r="J125" i="2"/>
  <c r="W124" i="2"/>
  <c r="V124" i="2"/>
  <c r="U124" i="2"/>
  <c r="T124" i="2"/>
  <c r="S124" i="2"/>
  <c r="R124" i="2"/>
  <c r="L124" i="2"/>
  <c r="K124" i="2"/>
  <c r="J124" i="2"/>
  <c r="W123" i="2"/>
  <c r="V123" i="2"/>
  <c r="U123" i="2"/>
  <c r="T123" i="2"/>
  <c r="S123" i="2"/>
  <c r="R123" i="2"/>
  <c r="L123" i="2"/>
  <c r="K123" i="2"/>
  <c r="J123" i="2"/>
  <c r="W122" i="2"/>
  <c r="V122" i="2"/>
  <c r="U122" i="2"/>
  <c r="T122" i="2"/>
  <c r="S122" i="2"/>
  <c r="R122" i="2"/>
  <c r="L122" i="2"/>
  <c r="K122" i="2"/>
  <c r="J122" i="2"/>
  <c r="W121" i="2"/>
  <c r="V121" i="2"/>
  <c r="U121" i="2"/>
  <c r="T121" i="2"/>
  <c r="S121" i="2"/>
  <c r="R121" i="2"/>
  <c r="L121" i="2"/>
  <c r="K121" i="2"/>
  <c r="J121" i="2"/>
  <c r="W120" i="2"/>
  <c r="V120" i="2"/>
  <c r="U120" i="2"/>
  <c r="T120" i="2"/>
  <c r="S120" i="2"/>
  <c r="R120" i="2"/>
  <c r="L120" i="2"/>
  <c r="K120" i="2"/>
  <c r="J120" i="2"/>
  <c r="W119" i="2"/>
  <c r="V119" i="2"/>
  <c r="U119" i="2"/>
  <c r="T119" i="2"/>
  <c r="S119" i="2"/>
  <c r="R119" i="2"/>
  <c r="L119" i="2"/>
  <c r="K119" i="2"/>
  <c r="J119" i="2"/>
  <c r="W118" i="2"/>
  <c r="V118" i="2"/>
  <c r="U118" i="2"/>
  <c r="T118" i="2"/>
  <c r="S118" i="2"/>
  <c r="R118" i="2"/>
  <c r="L118" i="2"/>
  <c r="K118" i="2"/>
  <c r="J118" i="2"/>
  <c r="W117" i="2"/>
  <c r="V117" i="2"/>
  <c r="U117" i="2"/>
  <c r="T117" i="2"/>
  <c r="S117" i="2"/>
  <c r="R117" i="2"/>
  <c r="L117" i="2"/>
  <c r="K117" i="2"/>
  <c r="J117" i="2"/>
  <c r="W116" i="2"/>
  <c r="V116" i="2"/>
  <c r="U116" i="2"/>
  <c r="T116" i="2"/>
  <c r="S116" i="2"/>
  <c r="R116" i="2"/>
  <c r="L116" i="2"/>
  <c r="K116" i="2"/>
  <c r="J116" i="2"/>
  <c r="W115" i="2"/>
  <c r="V115" i="2"/>
  <c r="U115" i="2"/>
  <c r="T115" i="2"/>
  <c r="S115" i="2"/>
  <c r="R115" i="2"/>
  <c r="L115" i="2"/>
  <c r="K115" i="2"/>
  <c r="J115" i="2"/>
  <c r="W114" i="2"/>
  <c r="V114" i="2"/>
  <c r="U114" i="2"/>
  <c r="T114" i="2"/>
  <c r="S114" i="2"/>
  <c r="R114" i="2"/>
  <c r="L114" i="2"/>
  <c r="K114" i="2"/>
  <c r="J114" i="2"/>
  <c r="W113" i="2"/>
  <c r="V113" i="2"/>
  <c r="U113" i="2"/>
  <c r="T113" i="2"/>
  <c r="S113" i="2"/>
  <c r="R113" i="2"/>
  <c r="L113" i="2"/>
  <c r="K113" i="2"/>
  <c r="J113" i="2"/>
  <c r="W112" i="2"/>
  <c r="V112" i="2"/>
  <c r="U112" i="2"/>
  <c r="T112" i="2"/>
  <c r="S112" i="2"/>
  <c r="R112" i="2"/>
  <c r="L112" i="2"/>
  <c r="K112" i="2"/>
  <c r="J112" i="2"/>
  <c r="W111" i="2"/>
  <c r="V111" i="2"/>
  <c r="U111" i="2"/>
  <c r="T111" i="2"/>
  <c r="S111" i="2"/>
  <c r="R111" i="2"/>
  <c r="L111" i="2"/>
  <c r="K111" i="2"/>
  <c r="J111" i="2"/>
  <c r="W110" i="2"/>
  <c r="V110" i="2"/>
  <c r="U110" i="2"/>
  <c r="T110" i="2"/>
  <c r="S110" i="2"/>
  <c r="R110" i="2"/>
  <c r="L110" i="2"/>
  <c r="K110" i="2"/>
  <c r="J110" i="2"/>
  <c r="W109" i="2"/>
  <c r="V109" i="2"/>
  <c r="U109" i="2"/>
  <c r="T109" i="2"/>
  <c r="S109" i="2"/>
  <c r="R109" i="2"/>
  <c r="L109" i="2"/>
  <c r="K109" i="2"/>
  <c r="J109" i="2"/>
  <c r="W108" i="2"/>
  <c r="V108" i="2"/>
  <c r="U108" i="2"/>
  <c r="T108" i="2"/>
  <c r="S108" i="2"/>
  <c r="R108" i="2"/>
  <c r="L108" i="2"/>
  <c r="K108" i="2"/>
  <c r="J108" i="2"/>
  <c r="W107" i="2"/>
  <c r="V107" i="2"/>
  <c r="U107" i="2"/>
  <c r="T107" i="2"/>
  <c r="S107" i="2"/>
  <c r="R107" i="2"/>
  <c r="L107" i="2"/>
  <c r="K107" i="2"/>
  <c r="J107" i="2"/>
  <c r="W106" i="2"/>
  <c r="V106" i="2"/>
  <c r="U106" i="2"/>
  <c r="T106" i="2"/>
  <c r="S106" i="2"/>
  <c r="R106" i="2"/>
  <c r="L106" i="2"/>
  <c r="K106" i="2"/>
  <c r="J106" i="2"/>
  <c r="W105" i="2"/>
  <c r="V105" i="2"/>
  <c r="U105" i="2"/>
  <c r="T105" i="2"/>
  <c r="S105" i="2"/>
  <c r="R105" i="2"/>
  <c r="L105" i="2"/>
  <c r="K105" i="2"/>
  <c r="J105" i="2"/>
  <c r="W104" i="2"/>
  <c r="V104" i="2"/>
  <c r="U104" i="2"/>
  <c r="T104" i="2"/>
  <c r="S104" i="2"/>
  <c r="R104" i="2"/>
  <c r="L104" i="2"/>
  <c r="K104" i="2"/>
  <c r="J104" i="2"/>
  <c r="W103" i="2"/>
  <c r="V103" i="2"/>
  <c r="U103" i="2"/>
  <c r="T103" i="2"/>
  <c r="S103" i="2"/>
  <c r="R103" i="2"/>
  <c r="L103" i="2"/>
  <c r="K103" i="2"/>
  <c r="J103" i="2"/>
  <c r="W102" i="2"/>
  <c r="V102" i="2"/>
  <c r="U102" i="2"/>
  <c r="T102" i="2"/>
  <c r="S102" i="2"/>
  <c r="R102" i="2"/>
  <c r="L102" i="2"/>
  <c r="K102" i="2"/>
  <c r="J102" i="2"/>
  <c r="W101" i="2"/>
  <c r="V101" i="2"/>
  <c r="U101" i="2"/>
  <c r="T101" i="2"/>
  <c r="S101" i="2"/>
  <c r="R101" i="2"/>
  <c r="L101" i="2"/>
  <c r="K101" i="2"/>
  <c r="J101" i="2"/>
  <c r="W100" i="2"/>
  <c r="V100" i="2"/>
  <c r="U100" i="2"/>
  <c r="T100" i="2"/>
  <c r="S100" i="2"/>
  <c r="R100" i="2"/>
  <c r="L100" i="2"/>
  <c r="K100" i="2"/>
  <c r="J100" i="2"/>
  <c r="W99" i="2"/>
  <c r="V99" i="2"/>
  <c r="U99" i="2"/>
  <c r="T99" i="2"/>
  <c r="S99" i="2"/>
  <c r="R99" i="2"/>
  <c r="L99" i="2"/>
  <c r="K99" i="2"/>
  <c r="J99" i="2"/>
  <c r="W98" i="2"/>
  <c r="V98" i="2"/>
  <c r="U98" i="2"/>
  <c r="T98" i="2"/>
  <c r="S98" i="2"/>
  <c r="R98" i="2"/>
  <c r="L98" i="2"/>
  <c r="K98" i="2"/>
  <c r="J98" i="2"/>
  <c r="W97" i="2"/>
  <c r="V97" i="2"/>
  <c r="U97" i="2"/>
  <c r="T97" i="2"/>
  <c r="S97" i="2"/>
  <c r="R97" i="2"/>
  <c r="L97" i="2"/>
  <c r="K97" i="2"/>
  <c r="J97" i="2"/>
  <c r="W96" i="2"/>
  <c r="V96" i="2"/>
  <c r="U96" i="2"/>
  <c r="T96" i="2"/>
  <c r="S96" i="2"/>
  <c r="R96" i="2"/>
  <c r="L96" i="2"/>
  <c r="K96" i="2"/>
  <c r="J96" i="2"/>
  <c r="W95" i="2"/>
  <c r="V95" i="2"/>
  <c r="U95" i="2"/>
  <c r="T95" i="2"/>
  <c r="S95" i="2"/>
  <c r="R95" i="2"/>
  <c r="L95" i="2"/>
  <c r="K95" i="2"/>
  <c r="J95" i="2"/>
  <c r="W94" i="2"/>
  <c r="V94" i="2"/>
  <c r="U94" i="2"/>
  <c r="T94" i="2"/>
  <c r="S94" i="2"/>
  <c r="R94" i="2"/>
  <c r="L94" i="2"/>
  <c r="K94" i="2"/>
  <c r="J94" i="2"/>
  <c r="W93" i="2"/>
  <c r="V93" i="2"/>
  <c r="U93" i="2"/>
  <c r="T93" i="2"/>
  <c r="S93" i="2"/>
  <c r="R93" i="2"/>
  <c r="L93" i="2"/>
  <c r="K93" i="2"/>
  <c r="J93" i="2"/>
  <c r="W92" i="2"/>
  <c r="V92" i="2"/>
  <c r="U92" i="2"/>
  <c r="T92" i="2"/>
  <c r="S92" i="2"/>
  <c r="R92" i="2"/>
  <c r="L92" i="2"/>
  <c r="K92" i="2"/>
  <c r="J92" i="2"/>
  <c r="W91" i="2"/>
  <c r="V91" i="2"/>
  <c r="U91" i="2"/>
  <c r="T91" i="2"/>
  <c r="S91" i="2"/>
  <c r="R91" i="2"/>
  <c r="L91" i="2"/>
  <c r="K91" i="2"/>
  <c r="J91" i="2"/>
  <c r="W90" i="2"/>
  <c r="V90" i="2"/>
  <c r="U90" i="2"/>
  <c r="T90" i="2"/>
  <c r="S90" i="2"/>
  <c r="R90" i="2"/>
  <c r="L90" i="2"/>
  <c r="K90" i="2"/>
  <c r="J90" i="2"/>
  <c r="W89" i="2"/>
  <c r="V89" i="2"/>
  <c r="U89" i="2"/>
  <c r="T89" i="2"/>
  <c r="S89" i="2"/>
  <c r="R89" i="2"/>
  <c r="L89" i="2"/>
  <c r="K89" i="2"/>
  <c r="J89" i="2"/>
  <c r="W88" i="2"/>
  <c r="V88" i="2"/>
  <c r="U88" i="2"/>
  <c r="T88" i="2"/>
  <c r="S88" i="2"/>
  <c r="R88" i="2"/>
  <c r="L88" i="2"/>
  <c r="K88" i="2"/>
  <c r="J88" i="2"/>
  <c r="W87" i="2"/>
  <c r="V87" i="2"/>
  <c r="U87" i="2"/>
  <c r="T87" i="2"/>
  <c r="S87" i="2"/>
  <c r="R87" i="2"/>
  <c r="L87" i="2"/>
  <c r="K87" i="2"/>
  <c r="J87" i="2"/>
  <c r="W86" i="2"/>
  <c r="V86" i="2"/>
  <c r="U86" i="2"/>
  <c r="T86" i="2"/>
  <c r="S86" i="2"/>
  <c r="R86" i="2"/>
  <c r="L86" i="2"/>
  <c r="K86" i="2"/>
  <c r="J86" i="2"/>
  <c r="W85" i="2"/>
  <c r="V85" i="2"/>
  <c r="U85" i="2"/>
  <c r="T85" i="2"/>
  <c r="S85" i="2"/>
  <c r="R85" i="2"/>
  <c r="L85" i="2"/>
  <c r="K85" i="2"/>
  <c r="J85" i="2"/>
  <c r="W84" i="2"/>
  <c r="V84" i="2"/>
  <c r="U84" i="2"/>
  <c r="T84" i="2"/>
  <c r="S84" i="2"/>
  <c r="R84" i="2"/>
  <c r="L84" i="2"/>
  <c r="K84" i="2"/>
  <c r="J84" i="2"/>
  <c r="W83" i="2"/>
  <c r="V83" i="2"/>
  <c r="U83" i="2"/>
  <c r="T83" i="2"/>
  <c r="S83" i="2"/>
  <c r="R83" i="2"/>
  <c r="L83" i="2"/>
  <c r="K83" i="2"/>
  <c r="J83" i="2"/>
  <c r="W82" i="2"/>
  <c r="V82" i="2"/>
  <c r="U82" i="2"/>
  <c r="T82" i="2"/>
  <c r="S82" i="2"/>
  <c r="R82" i="2"/>
  <c r="L82" i="2"/>
  <c r="K82" i="2"/>
  <c r="J82" i="2"/>
  <c r="W81" i="2"/>
  <c r="V81" i="2"/>
  <c r="U81" i="2"/>
  <c r="T81" i="2"/>
  <c r="S81" i="2"/>
  <c r="R81" i="2"/>
  <c r="L81" i="2"/>
  <c r="K81" i="2"/>
  <c r="J81" i="2"/>
  <c r="W80" i="2"/>
  <c r="V80" i="2"/>
  <c r="U80" i="2"/>
  <c r="T80" i="2"/>
  <c r="S80" i="2"/>
  <c r="R80" i="2"/>
  <c r="L80" i="2"/>
  <c r="K80" i="2"/>
  <c r="J80" i="2"/>
  <c r="W79" i="2"/>
  <c r="V79" i="2"/>
  <c r="U79" i="2"/>
  <c r="T79" i="2"/>
  <c r="S79" i="2"/>
  <c r="R79" i="2"/>
  <c r="L79" i="2"/>
  <c r="K79" i="2"/>
  <c r="J79" i="2"/>
  <c r="W78" i="2"/>
  <c r="V78" i="2"/>
  <c r="U78" i="2"/>
  <c r="T78" i="2"/>
  <c r="S78" i="2"/>
  <c r="R78" i="2"/>
  <c r="L78" i="2"/>
  <c r="K78" i="2"/>
  <c r="J78" i="2"/>
  <c r="W77" i="2"/>
  <c r="V77" i="2"/>
  <c r="U77" i="2"/>
  <c r="T77" i="2"/>
  <c r="S77" i="2"/>
  <c r="R77" i="2"/>
  <c r="L77" i="2"/>
  <c r="K77" i="2"/>
  <c r="J77" i="2"/>
  <c r="W76" i="2"/>
  <c r="V76" i="2"/>
  <c r="U76" i="2"/>
  <c r="T76" i="2"/>
  <c r="S76" i="2"/>
  <c r="R76" i="2"/>
  <c r="L76" i="2"/>
  <c r="K76" i="2"/>
  <c r="J76" i="2"/>
  <c r="W75" i="2"/>
  <c r="V75" i="2"/>
  <c r="U75" i="2"/>
  <c r="T75" i="2"/>
  <c r="S75" i="2"/>
  <c r="R75" i="2"/>
  <c r="L75" i="2"/>
  <c r="K75" i="2"/>
  <c r="J75" i="2"/>
  <c r="W74" i="2"/>
  <c r="V74" i="2"/>
  <c r="U74" i="2"/>
  <c r="T74" i="2"/>
  <c r="S74" i="2"/>
  <c r="R74" i="2"/>
  <c r="L74" i="2"/>
  <c r="K74" i="2"/>
  <c r="J74" i="2"/>
  <c r="W73" i="2"/>
  <c r="V73" i="2"/>
  <c r="U73" i="2"/>
  <c r="T73" i="2"/>
  <c r="S73" i="2"/>
  <c r="R73" i="2"/>
  <c r="L73" i="2"/>
  <c r="K73" i="2"/>
  <c r="J73" i="2"/>
  <c r="W72" i="2"/>
  <c r="V72" i="2"/>
  <c r="U72" i="2"/>
  <c r="T72" i="2"/>
  <c r="S72" i="2"/>
  <c r="R72" i="2"/>
  <c r="L72" i="2"/>
  <c r="K72" i="2"/>
  <c r="J72" i="2"/>
  <c r="W71" i="2"/>
  <c r="V71" i="2"/>
  <c r="U71" i="2"/>
  <c r="T71" i="2"/>
  <c r="S71" i="2"/>
  <c r="R71" i="2"/>
  <c r="L71" i="2"/>
  <c r="K71" i="2"/>
  <c r="J71" i="2"/>
  <c r="W70" i="2"/>
  <c r="V70" i="2"/>
  <c r="U70" i="2"/>
  <c r="T70" i="2"/>
  <c r="S70" i="2"/>
  <c r="R70" i="2"/>
  <c r="L70" i="2"/>
  <c r="K70" i="2"/>
  <c r="J70" i="2"/>
  <c r="W69" i="2"/>
  <c r="V69" i="2"/>
  <c r="U69" i="2"/>
  <c r="T69" i="2"/>
  <c r="S69" i="2"/>
  <c r="R69" i="2"/>
  <c r="L69" i="2"/>
  <c r="K69" i="2"/>
  <c r="J69" i="2"/>
  <c r="W68" i="2"/>
  <c r="V68" i="2"/>
  <c r="U68" i="2"/>
  <c r="T68" i="2"/>
  <c r="S68" i="2"/>
  <c r="R68" i="2"/>
  <c r="L68" i="2"/>
  <c r="K68" i="2"/>
  <c r="J68" i="2"/>
  <c r="W67" i="2"/>
  <c r="V67" i="2"/>
  <c r="U67" i="2"/>
  <c r="T67" i="2"/>
  <c r="S67" i="2"/>
  <c r="R67" i="2"/>
  <c r="L67" i="2"/>
  <c r="K67" i="2"/>
  <c r="J67" i="2"/>
  <c r="W66" i="2"/>
  <c r="V66" i="2"/>
  <c r="U66" i="2"/>
  <c r="T66" i="2"/>
  <c r="S66" i="2"/>
  <c r="R66" i="2"/>
  <c r="L66" i="2"/>
  <c r="K66" i="2"/>
  <c r="J66" i="2"/>
  <c r="W65" i="2"/>
  <c r="V65" i="2"/>
  <c r="U65" i="2"/>
  <c r="T65" i="2"/>
  <c r="S65" i="2"/>
  <c r="R65" i="2"/>
  <c r="L65" i="2"/>
  <c r="K65" i="2"/>
  <c r="J65" i="2"/>
  <c r="W64" i="2"/>
  <c r="V64" i="2"/>
  <c r="U64" i="2"/>
  <c r="T64" i="2"/>
  <c r="S64" i="2"/>
  <c r="R64" i="2"/>
  <c r="L64" i="2"/>
  <c r="K64" i="2"/>
  <c r="J64" i="2"/>
  <c r="W63" i="2"/>
  <c r="V63" i="2"/>
  <c r="U63" i="2"/>
  <c r="T63" i="2"/>
  <c r="S63" i="2"/>
  <c r="R63" i="2"/>
  <c r="L63" i="2"/>
  <c r="K63" i="2"/>
  <c r="J63" i="2"/>
  <c r="W62" i="2"/>
  <c r="V62" i="2"/>
  <c r="U62" i="2"/>
  <c r="T62" i="2"/>
  <c r="S62" i="2"/>
  <c r="R62" i="2"/>
  <c r="L62" i="2"/>
  <c r="K62" i="2"/>
  <c r="J62" i="2"/>
  <c r="W61" i="2"/>
  <c r="V61" i="2"/>
  <c r="U61" i="2"/>
  <c r="T61" i="2"/>
  <c r="S61" i="2"/>
  <c r="R61" i="2"/>
  <c r="L61" i="2"/>
  <c r="K61" i="2"/>
  <c r="J61" i="2"/>
  <c r="W60" i="2"/>
  <c r="V60" i="2"/>
  <c r="U60" i="2"/>
  <c r="T60" i="2"/>
  <c r="S60" i="2"/>
  <c r="R60" i="2"/>
  <c r="L60" i="2"/>
  <c r="K60" i="2"/>
  <c r="J60" i="2"/>
  <c r="W59" i="2"/>
  <c r="V59" i="2"/>
  <c r="U59" i="2"/>
  <c r="T59" i="2"/>
  <c r="S59" i="2"/>
  <c r="R59" i="2"/>
  <c r="L59" i="2"/>
  <c r="K59" i="2"/>
  <c r="J59" i="2"/>
  <c r="W58" i="2"/>
  <c r="V58" i="2"/>
  <c r="U58" i="2"/>
  <c r="T58" i="2"/>
  <c r="S58" i="2"/>
  <c r="R58" i="2"/>
  <c r="L58" i="2"/>
  <c r="K58" i="2"/>
  <c r="J58" i="2"/>
  <c r="W57" i="2"/>
  <c r="V57" i="2"/>
  <c r="U57" i="2"/>
  <c r="T57" i="2"/>
  <c r="S57" i="2"/>
  <c r="R57" i="2"/>
  <c r="L57" i="2"/>
  <c r="K57" i="2"/>
  <c r="J57" i="2"/>
  <c r="W56" i="2"/>
  <c r="V56" i="2"/>
  <c r="U56" i="2"/>
  <c r="T56" i="2"/>
  <c r="S56" i="2"/>
  <c r="R56" i="2"/>
  <c r="L56" i="2"/>
  <c r="K56" i="2"/>
  <c r="J56" i="2"/>
  <c r="W55" i="2"/>
  <c r="V55" i="2"/>
  <c r="U55" i="2"/>
  <c r="T55" i="2"/>
  <c r="S55" i="2"/>
  <c r="R55" i="2"/>
  <c r="L55" i="2"/>
  <c r="K55" i="2"/>
  <c r="J55" i="2"/>
  <c r="W54" i="2"/>
  <c r="V54" i="2"/>
  <c r="U54" i="2"/>
  <c r="T54" i="2"/>
  <c r="S54" i="2"/>
  <c r="R54" i="2"/>
  <c r="L54" i="2"/>
  <c r="K54" i="2"/>
  <c r="J54" i="2"/>
  <c r="W53" i="2"/>
  <c r="V53" i="2"/>
  <c r="U53" i="2"/>
  <c r="T53" i="2"/>
  <c r="S53" i="2"/>
  <c r="R53" i="2"/>
  <c r="L53" i="2"/>
  <c r="K53" i="2"/>
  <c r="J53" i="2"/>
  <c r="W52" i="2"/>
  <c r="V52" i="2"/>
  <c r="U52" i="2"/>
  <c r="T52" i="2"/>
  <c r="S52" i="2"/>
  <c r="R52" i="2"/>
  <c r="L52" i="2"/>
  <c r="K52" i="2"/>
  <c r="J52" i="2"/>
  <c r="W51" i="2"/>
  <c r="V51" i="2"/>
  <c r="U51" i="2"/>
  <c r="T51" i="2"/>
  <c r="S51" i="2"/>
  <c r="R51" i="2"/>
  <c r="L51" i="2"/>
  <c r="K51" i="2"/>
  <c r="J51" i="2"/>
  <c r="W50" i="2"/>
  <c r="V50" i="2"/>
  <c r="U50" i="2"/>
  <c r="T50" i="2"/>
  <c r="S50" i="2"/>
  <c r="R50" i="2"/>
  <c r="L50" i="2"/>
  <c r="K50" i="2"/>
  <c r="J50" i="2"/>
  <c r="W49" i="2"/>
  <c r="V49" i="2"/>
  <c r="U49" i="2"/>
  <c r="T49" i="2"/>
  <c r="S49" i="2"/>
  <c r="R49" i="2"/>
  <c r="L49" i="2"/>
  <c r="K49" i="2"/>
  <c r="J49" i="2"/>
  <c r="W48" i="2"/>
  <c r="V48" i="2"/>
  <c r="U48" i="2"/>
  <c r="T48" i="2"/>
  <c r="S48" i="2"/>
  <c r="R48" i="2"/>
  <c r="L48" i="2"/>
  <c r="K48" i="2"/>
  <c r="J48" i="2"/>
  <c r="W47" i="2"/>
  <c r="V47" i="2"/>
  <c r="U47" i="2"/>
  <c r="T47" i="2"/>
  <c r="S47" i="2"/>
  <c r="R47" i="2"/>
  <c r="L47" i="2"/>
  <c r="K47" i="2"/>
  <c r="J47" i="2"/>
  <c r="W46" i="2"/>
  <c r="V46" i="2"/>
  <c r="U46" i="2"/>
  <c r="T46" i="2"/>
  <c r="S46" i="2"/>
  <c r="R46" i="2"/>
  <c r="L46" i="2"/>
  <c r="K46" i="2"/>
  <c r="J46" i="2"/>
  <c r="W45" i="2"/>
  <c r="V45" i="2"/>
  <c r="U45" i="2"/>
  <c r="T45" i="2"/>
  <c r="S45" i="2"/>
  <c r="R45" i="2"/>
  <c r="L45" i="2"/>
  <c r="K45" i="2"/>
  <c r="J45" i="2"/>
  <c r="W44" i="2"/>
  <c r="V44" i="2"/>
  <c r="U44" i="2"/>
  <c r="T44" i="2"/>
  <c r="S44" i="2"/>
  <c r="R44" i="2"/>
  <c r="L44" i="2"/>
  <c r="K44" i="2"/>
  <c r="J44" i="2"/>
  <c r="W43" i="2"/>
  <c r="V43" i="2"/>
  <c r="U43" i="2"/>
  <c r="T43" i="2"/>
  <c r="S43" i="2"/>
  <c r="R43" i="2"/>
  <c r="L43" i="2"/>
  <c r="K43" i="2"/>
  <c r="J43" i="2"/>
  <c r="W42" i="2"/>
  <c r="V42" i="2"/>
  <c r="U42" i="2"/>
  <c r="T42" i="2"/>
  <c r="S42" i="2"/>
  <c r="R42" i="2"/>
  <c r="L42" i="2"/>
  <c r="K42" i="2"/>
  <c r="J42" i="2"/>
  <c r="W41" i="2"/>
  <c r="V41" i="2"/>
  <c r="U41" i="2"/>
  <c r="T41" i="2"/>
  <c r="S41" i="2"/>
  <c r="R41" i="2"/>
  <c r="L41" i="2"/>
  <c r="K41" i="2"/>
  <c r="J41" i="2"/>
  <c r="W40" i="2"/>
  <c r="V40" i="2"/>
  <c r="U40" i="2"/>
  <c r="T40" i="2"/>
  <c r="S40" i="2"/>
  <c r="R40" i="2"/>
  <c r="L40" i="2"/>
  <c r="K40" i="2"/>
  <c r="J40" i="2"/>
  <c r="W39" i="2"/>
  <c r="V39" i="2"/>
  <c r="U39" i="2"/>
  <c r="T39" i="2"/>
  <c r="S39" i="2"/>
  <c r="R39" i="2"/>
  <c r="L39" i="2"/>
  <c r="K39" i="2"/>
  <c r="J39" i="2"/>
  <c r="W38" i="2"/>
  <c r="V38" i="2"/>
  <c r="U38" i="2"/>
  <c r="T38" i="2"/>
  <c r="S38" i="2"/>
  <c r="R38" i="2"/>
  <c r="L38" i="2"/>
  <c r="K38" i="2"/>
  <c r="J38" i="2"/>
  <c r="W37" i="2"/>
  <c r="V37" i="2"/>
  <c r="U37" i="2"/>
  <c r="T37" i="2"/>
  <c r="S37" i="2"/>
  <c r="R37" i="2"/>
  <c r="L37" i="2"/>
  <c r="K37" i="2"/>
  <c r="J37" i="2"/>
  <c r="W36" i="2"/>
  <c r="V36" i="2"/>
  <c r="U36" i="2"/>
  <c r="T36" i="2"/>
  <c r="S36" i="2"/>
  <c r="R36" i="2"/>
  <c r="L36" i="2"/>
  <c r="K36" i="2"/>
  <c r="J36" i="2"/>
  <c r="W35" i="2"/>
  <c r="V35" i="2"/>
  <c r="U35" i="2"/>
  <c r="T35" i="2"/>
  <c r="S35" i="2"/>
  <c r="R35" i="2"/>
  <c r="L35" i="2"/>
  <c r="K35" i="2"/>
  <c r="J35" i="2"/>
  <c r="W34" i="2"/>
  <c r="V34" i="2"/>
  <c r="U34" i="2"/>
  <c r="T34" i="2"/>
  <c r="S34" i="2"/>
  <c r="R34" i="2"/>
  <c r="L34" i="2"/>
  <c r="K34" i="2"/>
  <c r="J34" i="2"/>
  <c r="W33" i="2"/>
  <c r="V33" i="2"/>
  <c r="U33" i="2"/>
  <c r="T33" i="2"/>
  <c r="S33" i="2"/>
  <c r="R33" i="2"/>
  <c r="L33" i="2"/>
  <c r="K33" i="2"/>
  <c r="J33" i="2"/>
  <c r="W32" i="2"/>
  <c r="V32" i="2"/>
  <c r="U32" i="2"/>
  <c r="T32" i="2"/>
  <c r="S32" i="2"/>
  <c r="R32" i="2"/>
  <c r="L32" i="2"/>
  <c r="K32" i="2"/>
  <c r="J32" i="2"/>
  <c r="W31" i="2"/>
  <c r="V31" i="2"/>
  <c r="U31" i="2"/>
  <c r="T31" i="2"/>
  <c r="S31" i="2"/>
  <c r="R31" i="2"/>
  <c r="L31" i="2"/>
  <c r="K31" i="2"/>
  <c r="J31" i="2"/>
  <c r="W30" i="2"/>
  <c r="V30" i="2"/>
  <c r="U30" i="2"/>
  <c r="T30" i="2"/>
  <c r="S30" i="2"/>
  <c r="R30" i="2"/>
  <c r="L30" i="2"/>
  <c r="K30" i="2"/>
  <c r="J30" i="2"/>
  <c r="W29" i="2"/>
  <c r="V29" i="2"/>
  <c r="U29" i="2"/>
  <c r="T29" i="2"/>
  <c r="S29" i="2"/>
  <c r="R29" i="2"/>
  <c r="L29" i="2"/>
  <c r="K29" i="2"/>
  <c r="J29" i="2"/>
  <c r="W28" i="2"/>
  <c r="V28" i="2"/>
  <c r="U28" i="2"/>
  <c r="T28" i="2"/>
  <c r="S28" i="2"/>
  <c r="R28" i="2"/>
  <c r="L28" i="2"/>
  <c r="K28" i="2"/>
  <c r="J28" i="2"/>
  <c r="W27" i="2"/>
  <c r="V27" i="2"/>
  <c r="U27" i="2"/>
  <c r="T27" i="2"/>
  <c r="S27" i="2"/>
  <c r="R27" i="2"/>
  <c r="L27" i="2"/>
  <c r="K27" i="2"/>
  <c r="J27" i="2"/>
  <c r="W26" i="2"/>
  <c r="V26" i="2"/>
  <c r="U26" i="2"/>
  <c r="T26" i="2"/>
  <c r="S26" i="2"/>
  <c r="R26" i="2"/>
  <c r="L26" i="2"/>
  <c r="K26" i="2"/>
  <c r="J26" i="2"/>
  <c r="W25" i="2"/>
  <c r="V25" i="2"/>
  <c r="U25" i="2"/>
  <c r="T25" i="2"/>
  <c r="S25" i="2"/>
  <c r="R25" i="2"/>
  <c r="L25" i="2"/>
  <c r="K25" i="2"/>
  <c r="J25" i="2"/>
  <c r="W24" i="2"/>
  <c r="V24" i="2"/>
  <c r="U24" i="2"/>
  <c r="T24" i="2"/>
  <c r="S24" i="2"/>
  <c r="R24" i="2"/>
  <c r="L24" i="2"/>
  <c r="K24" i="2"/>
  <c r="J24" i="2"/>
  <c r="W23" i="2"/>
  <c r="V23" i="2"/>
  <c r="U23" i="2"/>
  <c r="T23" i="2"/>
  <c r="S23" i="2"/>
  <c r="R23" i="2"/>
  <c r="L23" i="2"/>
  <c r="K23" i="2"/>
  <c r="J23" i="2"/>
  <c r="W22" i="2"/>
  <c r="V22" i="2"/>
  <c r="U22" i="2"/>
  <c r="T22" i="2"/>
  <c r="S22" i="2"/>
  <c r="R22" i="2"/>
  <c r="L22" i="2"/>
  <c r="K22" i="2"/>
  <c r="J22" i="2"/>
  <c r="W21" i="2"/>
  <c r="V21" i="2"/>
  <c r="U21" i="2"/>
  <c r="T21" i="2"/>
  <c r="S21" i="2"/>
  <c r="R21" i="2"/>
  <c r="L21" i="2"/>
  <c r="K21" i="2"/>
  <c r="J21" i="2"/>
  <c r="W20" i="2"/>
  <c r="V20" i="2"/>
  <c r="U20" i="2"/>
  <c r="T20" i="2"/>
  <c r="S20" i="2"/>
  <c r="R20" i="2"/>
  <c r="L20" i="2"/>
  <c r="K20" i="2"/>
  <c r="J20" i="2"/>
  <c r="W19" i="2"/>
  <c r="V19" i="2"/>
  <c r="U19" i="2"/>
  <c r="T19" i="2"/>
  <c r="S19" i="2"/>
  <c r="R19" i="2"/>
  <c r="L19" i="2"/>
  <c r="K19" i="2"/>
  <c r="J19" i="2"/>
  <c r="W18" i="2"/>
  <c r="V18" i="2"/>
  <c r="U18" i="2"/>
  <c r="T18" i="2"/>
  <c r="S18" i="2"/>
  <c r="R18" i="2"/>
  <c r="L18" i="2"/>
  <c r="K18" i="2"/>
  <c r="J18" i="2"/>
  <c r="W17" i="2"/>
  <c r="V17" i="2"/>
  <c r="U17" i="2"/>
  <c r="T17" i="2"/>
  <c r="S17" i="2"/>
  <c r="O17" i="2"/>
  <c r="L17" i="2"/>
  <c r="K17" i="2"/>
  <c r="E17" i="2"/>
  <c r="W16" i="2"/>
  <c r="V16" i="2"/>
  <c r="U16" i="2"/>
  <c r="T16" i="2"/>
  <c r="S16" i="2"/>
  <c r="R16" i="2"/>
  <c r="L16" i="2"/>
  <c r="K16" i="2"/>
  <c r="J16" i="2"/>
  <c r="N7" i="2"/>
  <c r="M7" i="2"/>
  <c r="K7" i="2"/>
  <c r="J7" i="2"/>
  <c r="I7" i="2"/>
  <c r="H7" i="2"/>
  <c r="G7" i="2"/>
  <c r="K5" i="2"/>
  <c r="J5" i="2"/>
  <c r="I5" i="2"/>
  <c r="H5" i="2"/>
  <c r="G5" i="2"/>
  <c r="K4" i="2"/>
  <c r="J4" i="2"/>
  <c r="I4" i="2"/>
  <c r="H4" i="2"/>
  <c r="G4" i="2"/>
  <c r="K22" i="1"/>
  <c r="J22" i="1"/>
  <c r="I22" i="1"/>
  <c r="K21" i="1"/>
  <c r="M20" i="1"/>
  <c r="L20" i="1"/>
  <c r="K20" i="1"/>
  <c r="H20" i="1"/>
  <c r="F20" i="1"/>
  <c r="G11" i="1"/>
  <c r="N10" i="1"/>
  <c r="M10" i="1"/>
  <c r="K10" i="1"/>
  <c r="I10" i="1"/>
  <c r="E10" i="1"/>
  <c r="J10" i="1" s="1"/>
  <c r="N9" i="1"/>
  <c r="M9" i="1"/>
  <c r="K9" i="1"/>
  <c r="I9" i="1"/>
  <c r="E9" i="1"/>
  <c r="J9" i="1" s="1"/>
  <c r="N8" i="1"/>
  <c r="M8" i="1"/>
  <c r="K8" i="1" s="1"/>
  <c r="I8" i="1"/>
  <c r="E8" i="1"/>
  <c r="J8" i="1" s="1"/>
  <c r="P7" i="1"/>
  <c r="N7" i="1"/>
  <c r="M7" i="1"/>
  <c r="K7" i="1"/>
  <c r="J7" i="1"/>
  <c r="I7" i="1"/>
  <c r="J10" i="15" s="1"/>
  <c r="N6" i="1"/>
  <c r="M6" i="1"/>
  <c r="K6" i="1" s="1"/>
  <c r="J6" i="1"/>
  <c r="I6" i="1"/>
  <c r="G6" i="8" s="1"/>
  <c r="AJ26" i="5" l="1"/>
  <c r="AN26" i="5" s="1"/>
  <c r="H21" i="5"/>
  <c r="U20" i="5"/>
  <c r="BB20" i="5"/>
  <c r="S7" i="5"/>
  <c r="U21" i="5"/>
  <c r="V21" i="5" s="1"/>
  <c r="AI21" i="5"/>
  <c r="AL21" i="5" s="1"/>
  <c r="AI20" i="5"/>
  <c r="AJ20" i="5" s="1"/>
  <c r="V20" i="5"/>
  <c r="V19" i="5" s="1"/>
  <c r="G4" i="5" s="1"/>
  <c r="X20" i="5"/>
  <c r="X21" i="5"/>
  <c r="D22" i="1"/>
  <c r="F8" i="1" s="1"/>
  <c r="AO33" i="5"/>
  <c r="AJ31" i="5"/>
  <c r="AN31" i="5" s="1"/>
  <c r="AL31" i="5"/>
  <c r="AM31" i="5" s="1"/>
  <c r="AL22" i="5"/>
  <c r="AM22" i="5" s="1"/>
  <c r="AJ22" i="5"/>
  <c r="AN22" i="5" s="1"/>
  <c r="AL23" i="5"/>
  <c r="AM23" i="5" s="1"/>
  <c r="AJ23" i="5"/>
  <c r="AN23" i="5" s="1"/>
  <c r="AL27" i="5"/>
  <c r="AM27" i="5" s="1"/>
  <c r="AJ27" i="5"/>
  <c r="AN27" i="5" s="1"/>
  <c r="AL28" i="5"/>
  <c r="AM28" i="5" s="1"/>
  <c r="AJ28" i="5"/>
  <c r="AN28" i="5" s="1"/>
  <c r="AL33" i="5"/>
  <c r="AM33" i="5" s="1"/>
  <c r="AJ33" i="5"/>
  <c r="AN33" i="5" s="1"/>
  <c r="AL34" i="5"/>
  <c r="AM34" i="5" s="1"/>
  <c r="AJ34" i="5"/>
  <c r="AN34" i="5" s="1"/>
  <c r="AJ24" i="5"/>
  <c r="AN24" i="5" s="1"/>
  <c r="AJ29" i="5"/>
  <c r="AN29" i="5" s="1"/>
  <c r="AJ32" i="5"/>
  <c r="AN32" i="5" s="1"/>
  <c r="AJ25" i="5"/>
  <c r="AN25" i="5" s="1"/>
  <c r="AJ30" i="5"/>
  <c r="AN30" i="5" s="1"/>
  <c r="AG21" i="15"/>
  <c r="AC21" i="15"/>
  <c r="S21" i="15"/>
  <c r="S21" i="4"/>
  <c r="AE21" i="4"/>
  <c r="T21" i="4"/>
  <c r="U21" i="4"/>
  <c r="AT21" i="4" s="1"/>
  <c r="AG21" i="4"/>
  <c r="AJ21" i="4" s="1"/>
  <c r="AF21" i="4"/>
  <c r="AH21" i="4" s="1"/>
  <c r="P8" i="4"/>
  <c r="AV22" i="4"/>
  <c r="R18" i="3"/>
  <c r="AA22" i="3"/>
  <c r="AB22" i="3" s="1"/>
  <c r="AL22" i="3" s="1"/>
  <c r="AA20" i="3"/>
  <c r="AB20" i="3" s="1"/>
  <c r="AL20" i="3" s="1"/>
  <c r="Q21" i="3"/>
  <c r="R21" i="3" s="1"/>
  <c r="AI21" i="3" s="1"/>
  <c r="AA21" i="3"/>
  <c r="AB21" i="3" s="1"/>
  <c r="AL21" i="3" s="1"/>
  <c r="O8" i="3"/>
  <c r="P8" i="3"/>
  <c r="Q23" i="3"/>
  <c r="R23" i="3" s="1"/>
  <c r="Q22" i="3"/>
  <c r="AA23" i="3"/>
  <c r="AB23" i="3" s="1"/>
  <c r="Q20" i="3"/>
  <c r="R20" i="3" s="1"/>
  <c r="AI20" i="3" s="1"/>
  <c r="T23" i="15"/>
  <c r="T22" i="15" s="1"/>
  <c r="J21" i="1" s="1"/>
  <c r="AE23" i="15"/>
  <c r="S24" i="15"/>
  <c r="U24" i="15" s="1"/>
  <c r="S23" i="15"/>
  <c r="AH23" i="15"/>
  <c r="Q7" i="15"/>
  <c r="AE22" i="15"/>
  <c r="I5" i="15"/>
  <c r="AD23" i="15"/>
  <c r="AD24" i="15"/>
  <c r="T23" i="4"/>
  <c r="AA24" i="4"/>
  <c r="T24" i="4"/>
  <c r="T22" i="4" s="1"/>
  <c r="S23" i="4"/>
  <c r="S24" i="4"/>
  <c r="U24" i="4" s="1"/>
  <c r="AF24" i="4"/>
  <c r="AG24" i="4"/>
  <c r="AZ24" i="4"/>
  <c r="AZ22" i="4" s="1"/>
  <c r="AF23" i="4"/>
  <c r="AG23" i="4"/>
  <c r="AY23" i="4"/>
  <c r="AY24" i="4"/>
  <c r="O8" i="4"/>
  <c r="Q7" i="4" s="1"/>
  <c r="AO31" i="5"/>
  <c r="AO26" i="5"/>
  <c r="AO28" i="5"/>
  <c r="AO30" i="5"/>
  <c r="H7" i="15"/>
  <c r="H6" i="8"/>
  <c r="I6" i="8" s="1"/>
  <c r="J6" i="8" s="1"/>
  <c r="G7" i="15"/>
  <c r="G6" i="2"/>
  <c r="G7" i="4"/>
  <c r="G6" i="13"/>
  <c r="AO24" i="5"/>
  <c r="AO21" i="5"/>
  <c r="AO23" i="5"/>
  <c r="AK19" i="5"/>
  <c r="H5" i="5" s="1"/>
  <c r="AO27" i="5"/>
  <c r="AO32" i="5"/>
  <c r="W19" i="5"/>
  <c r="G5" i="5" s="1"/>
  <c r="AO25" i="5"/>
  <c r="K11" i="1"/>
  <c r="AO22" i="5"/>
  <c r="AO29" i="5"/>
  <c r="AO34" i="5"/>
  <c r="J10" i="4"/>
  <c r="AO20" i="5"/>
  <c r="H6" i="2"/>
  <c r="H6" i="13"/>
  <c r="H7" i="4"/>
  <c r="G7" i="6"/>
  <c r="I6" i="2"/>
  <c r="G6" i="3"/>
  <c r="H7" i="6"/>
  <c r="F16" i="6"/>
  <c r="H6" i="3"/>
  <c r="G6" i="7"/>
  <c r="L16" i="6"/>
  <c r="H6" i="7"/>
  <c r="F5" i="6"/>
  <c r="Q16" i="6"/>
  <c r="W16" i="6"/>
  <c r="AK36" i="4"/>
  <c r="AK37" i="4"/>
  <c r="AK38" i="4"/>
  <c r="AL38" i="4"/>
  <c r="AK39" i="4"/>
  <c r="AK40" i="4"/>
  <c r="AK41" i="4"/>
  <c r="AK42" i="4"/>
  <c r="AK26" i="4"/>
  <c r="AK27" i="4"/>
  <c r="AK28" i="4"/>
  <c r="AK29" i="4"/>
  <c r="AK30" i="4"/>
  <c r="AK31" i="4"/>
  <c r="AK32" i="4"/>
  <c r="AL41" i="4"/>
  <c r="AL26" i="4"/>
  <c r="AL29" i="4"/>
  <c r="AK33" i="4"/>
  <c r="AK34" i="4"/>
  <c r="AK35" i="4"/>
  <c r="AK25" i="4"/>
  <c r="AL27" i="4"/>
  <c r="AL30" i="4"/>
  <c r="AL33" i="4"/>
  <c r="AL36" i="4"/>
  <c r="AL42" i="4"/>
  <c r="AL25" i="4"/>
  <c r="AL28" i="4"/>
  <c r="AL31" i="4"/>
  <c r="AL34" i="4"/>
  <c r="AL37" i="4"/>
  <c r="AL40" i="4"/>
  <c r="AJ21" i="5" l="1"/>
  <c r="AN21" i="5" s="1"/>
  <c r="AI19" i="5"/>
  <c r="AL20" i="5"/>
  <c r="AL19" i="5" s="1"/>
  <c r="H6" i="5" s="1"/>
  <c r="AM21" i="5"/>
  <c r="X19" i="5"/>
  <c r="G6" i="5" s="1"/>
  <c r="AJ19" i="5"/>
  <c r="H4" i="5" s="1"/>
  <c r="I4" i="5" s="1"/>
  <c r="J4" i="5" s="1"/>
  <c r="AN20" i="5"/>
  <c r="U21" i="15"/>
  <c r="AF21" i="15"/>
  <c r="AH21" i="15" s="1"/>
  <c r="AB21" i="15"/>
  <c r="AZ21" i="4"/>
  <c r="AY21" i="4"/>
  <c r="BA21" i="4" s="1"/>
  <c r="AL21" i="4"/>
  <c r="AI21" i="4"/>
  <c r="AK21" i="4" s="1"/>
  <c r="AI18" i="3"/>
  <c r="AE18" i="3"/>
  <c r="AC22" i="3"/>
  <c r="AD22" i="3" s="1"/>
  <c r="Q7" i="3"/>
  <c r="R22" i="3"/>
  <c r="AC21" i="3"/>
  <c r="AD21" i="3" s="1"/>
  <c r="AC20" i="3"/>
  <c r="AD20" i="3" s="1"/>
  <c r="Q19" i="3"/>
  <c r="G20" i="1" s="1"/>
  <c r="AE21" i="3"/>
  <c r="AA19" i="3"/>
  <c r="H4" i="3" s="1"/>
  <c r="H7" i="3" s="1"/>
  <c r="AC23" i="3"/>
  <c r="AD23" i="3" s="1"/>
  <c r="AE23" i="3"/>
  <c r="AB19" i="3"/>
  <c r="AE20" i="3"/>
  <c r="AG22" i="15"/>
  <c r="G5" i="15"/>
  <c r="S22" i="15"/>
  <c r="U23" i="15"/>
  <c r="U22" i="15" s="1"/>
  <c r="AA22" i="15"/>
  <c r="I6" i="15"/>
  <c r="AD22" i="15"/>
  <c r="J5" i="15"/>
  <c r="H5" i="15"/>
  <c r="AJ24" i="4"/>
  <c r="G5" i="4"/>
  <c r="I21" i="1"/>
  <c r="D21" i="1" s="1"/>
  <c r="F7" i="1" s="1"/>
  <c r="S22" i="4"/>
  <c r="U23" i="4"/>
  <c r="AX24" i="4"/>
  <c r="AX22" i="4" s="1"/>
  <c r="AW24" i="4"/>
  <c r="AW22" i="4" s="1"/>
  <c r="AY22" i="4"/>
  <c r="AJ23" i="4"/>
  <c r="AJ22" i="4" s="1"/>
  <c r="AG22" i="4"/>
  <c r="H5" i="4" s="1"/>
  <c r="AF22" i="4"/>
  <c r="H4" i="4" s="1"/>
  <c r="AI23" i="4"/>
  <c r="AH23" i="4"/>
  <c r="AI24" i="4"/>
  <c r="AH24" i="4"/>
  <c r="AL24" i="4" s="1"/>
  <c r="I7" i="4"/>
  <c r="J7" i="4" s="1"/>
  <c r="I6" i="13"/>
  <c r="J6" i="13" s="1"/>
  <c r="J6" i="2"/>
  <c r="K6" i="2" s="1"/>
  <c r="I7" i="15"/>
  <c r="J7" i="15" s="1"/>
  <c r="AO19" i="5"/>
  <c r="I7" i="6"/>
  <c r="J7" i="6" s="1"/>
  <c r="I5" i="5"/>
  <c r="J5" i="5" s="1"/>
  <c r="I6" i="3"/>
  <c r="J6" i="3" s="1"/>
  <c r="I6" i="7"/>
  <c r="J6" i="7" s="1"/>
  <c r="AN19" i="5" l="1"/>
  <c r="AM20" i="5"/>
  <c r="AM19" i="5" s="1"/>
  <c r="I6" i="5"/>
  <c r="J6" i="5" s="1"/>
  <c r="AE21" i="15"/>
  <c r="AD21" i="15"/>
  <c r="R19" i="3"/>
  <c r="AI19" i="3" s="1"/>
  <c r="AI22" i="3"/>
  <c r="AE22" i="3"/>
  <c r="G4" i="3"/>
  <c r="G7" i="3" s="1"/>
  <c r="AC19" i="3"/>
  <c r="AD19" i="3"/>
  <c r="AE19" i="3"/>
  <c r="H5" i="3"/>
  <c r="AL19" i="3"/>
  <c r="I4" i="3"/>
  <c r="J4" i="3" s="1"/>
  <c r="J20" i="1"/>
  <c r="G4" i="15"/>
  <c r="AF22" i="15"/>
  <c r="AH22" i="15" s="1"/>
  <c r="Z22" i="15"/>
  <c r="G6" i="15"/>
  <c r="J6" i="15"/>
  <c r="H6" i="15"/>
  <c r="AK24" i="4"/>
  <c r="I5" i="4"/>
  <c r="J5" i="4" s="1"/>
  <c r="U22" i="4"/>
  <c r="I20" i="1"/>
  <c r="G4" i="4"/>
  <c r="G8" i="4" s="1"/>
  <c r="AH22" i="4"/>
  <c r="AL23" i="4"/>
  <c r="AL22" i="4" s="1"/>
  <c r="AI22" i="4"/>
  <c r="AK23" i="4"/>
  <c r="AK22" i="4" s="1"/>
  <c r="I4" i="4"/>
  <c r="J4" i="4" s="1"/>
  <c r="H8" i="4"/>
  <c r="G5" i="3" l="1"/>
  <c r="I7" i="3"/>
  <c r="J7" i="3" s="1"/>
  <c r="I5" i="3"/>
  <c r="J5" i="3" s="1"/>
  <c r="D20" i="1"/>
  <c r="F6" i="1" s="1"/>
  <c r="G8" i="15"/>
  <c r="J4" i="15"/>
  <c r="H4" i="15"/>
  <c r="H8" i="15" s="1"/>
  <c r="I8" i="4"/>
  <c r="J8" i="4" s="1"/>
  <c r="G6" i="4"/>
  <c r="H6" i="4"/>
  <c r="I6" i="4" s="1"/>
  <c r="J6" i="4" s="1"/>
  <c r="I8" i="15" l="1"/>
  <c r="J8" i="15" s="1"/>
  <c r="K4" i="9"/>
  <c r="K2" i="9"/>
</calcChain>
</file>

<file path=xl/sharedStrings.xml><?xml version="1.0" encoding="utf-8"?>
<sst xmlns="http://schemas.openxmlformats.org/spreadsheetml/2006/main" count="2440" uniqueCount="1092">
  <si>
    <t>事業所のエネルギー使用量の把握</t>
    <rPh sb="0" eb="3">
      <t>ジギョウショ</t>
    </rPh>
    <rPh sb="9" eb="12">
      <t>シヨウリョウ</t>
    </rPh>
    <rPh sb="13" eb="15">
      <t>ハアク</t>
    </rPh>
    <phoneticPr fontId="5"/>
  </si>
  <si>
    <t>主要エネルギー種類別の年間使用量と光熱費</t>
    <rPh sb="0" eb="2">
      <t>シュヨウ</t>
    </rPh>
    <rPh sb="7" eb="10">
      <t>シュルイベツ</t>
    </rPh>
    <rPh sb="11" eb="13">
      <t>ネンカン</t>
    </rPh>
    <rPh sb="13" eb="16">
      <t>シヨウリョウ</t>
    </rPh>
    <rPh sb="17" eb="20">
      <t>コウネツヒ</t>
    </rPh>
    <phoneticPr fontId="5"/>
  </si>
  <si>
    <t>年間使用量</t>
    <rPh sb="0" eb="2">
      <t>ネンカン</t>
    </rPh>
    <rPh sb="2" eb="5">
      <t>シヨウリョウ</t>
    </rPh>
    <phoneticPr fontId="5"/>
  </si>
  <si>
    <t>光熱費</t>
    <rPh sb="0" eb="3">
      <t>コウネツヒ</t>
    </rPh>
    <phoneticPr fontId="5"/>
  </si>
  <si>
    <t>CO2排出量</t>
    <rPh sb="3" eb="6">
      <t>ハイシュツリョウ</t>
    </rPh>
    <phoneticPr fontId="5"/>
  </si>
  <si>
    <t>（参考)CO2排出係数</t>
    <rPh sb="1" eb="3">
      <t>サンコウ</t>
    </rPh>
    <rPh sb="7" eb="9">
      <t>ハイシュツ</t>
    </rPh>
    <rPh sb="9" eb="11">
      <t>ケイスウ</t>
    </rPh>
    <phoneticPr fontId="7"/>
  </si>
  <si>
    <t>電気</t>
    <rPh sb="0" eb="2">
      <t>デンキ</t>
    </rPh>
    <phoneticPr fontId="5"/>
  </si>
  <si>
    <t>kWh</t>
    <phoneticPr fontId="5"/>
  </si>
  <si>
    <t>円/年</t>
    <phoneticPr fontId="5"/>
  </si>
  <si>
    <t>tCO2/年</t>
    <rPh sb="5" eb="6">
      <t>ネン</t>
    </rPh>
    <phoneticPr fontId="5"/>
  </si>
  <si>
    <t>LPGのL→kg換算</t>
    <rPh sb="8" eb="10">
      <t>カンサン</t>
    </rPh>
    <phoneticPr fontId="5"/>
  </si>
  <si>
    <t>都市ガス</t>
    <rPh sb="0" eb="2">
      <t>トシ</t>
    </rPh>
    <phoneticPr fontId="5"/>
  </si>
  <si>
    <t>㎥</t>
    <phoneticPr fontId="5"/>
  </si>
  <si>
    <t>L</t>
    <phoneticPr fontId="5"/>
  </si>
  <si>
    <t>液化石油ガス（LPG）</t>
    <rPh sb="0" eb="2">
      <t>エキカ</t>
    </rPh>
    <rPh sb="2" eb="4">
      <t>セキユ</t>
    </rPh>
    <phoneticPr fontId="7"/>
  </si>
  <si>
    <t>kg</t>
    <phoneticPr fontId="5"/>
  </si>
  <si>
    <t>灯油</t>
    <rPh sb="0" eb="2">
      <t>トウユ</t>
    </rPh>
    <phoneticPr fontId="7"/>
  </si>
  <si>
    <t>A重油</t>
    <rPh sb="1" eb="3">
      <t>ジュウユ</t>
    </rPh>
    <phoneticPr fontId="7"/>
  </si>
  <si>
    <t>合計</t>
    <rPh sb="0" eb="2">
      <t>ゴウケイ</t>
    </rPh>
    <phoneticPr fontId="5"/>
  </si>
  <si>
    <t>kW</t>
    <phoneticPr fontId="5"/>
  </si>
  <si>
    <t>%</t>
    <phoneticPr fontId="5"/>
  </si>
  <si>
    <t>kWh/年</t>
    <rPh sb="4" eb="5">
      <t>ネン</t>
    </rPh>
    <phoneticPr fontId="5"/>
  </si>
  <si>
    <t>項目</t>
    <rPh sb="0" eb="2">
      <t>コウモク</t>
    </rPh>
    <phoneticPr fontId="5"/>
  </si>
  <si>
    <t>単位</t>
    <rPh sb="0" eb="2">
      <t>タンイ</t>
    </rPh>
    <phoneticPr fontId="5"/>
  </si>
  <si>
    <t>更新前</t>
    <rPh sb="0" eb="3">
      <t>コウシンマエ</t>
    </rPh>
    <phoneticPr fontId="5"/>
  </si>
  <si>
    <t>更新後</t>
    <rPh sb="0" eb="2">
      <t>コウシン</t>
    </rPh>
    <rPh sb="2" eb="3">
      <t>ゴ</t>
    </rPh>
    <phoneticPr fontId="5"/>
  </si>
  <si>
    <t>削減量</t>
  </si>
  <si>
    <t>削減率</t>
    <rPh sb="0" eb="3">
      <t>サクゲンリツ</t>
    </rPh>
    <phoneticPr fontId="5"/>
  </si>
  <si>
    <t>年間消費電力量</t>
    <rPh sb="0" eb="2">
      <t>ネンカン</t>
    </rPh>
    <rPh sb="2" eb="7">
      <t>ショウヒデンリョクリョウ</t>
    </rPh>
    <phoneticPr fontId="5"/>
  </si>
  <si>
    <t>光熱費</t>
  </si>
  <si>
    <t>円/年</t>
    <rPh sb="0" eb="1">
      <t>エン</t>
    </rPh>
    <rPh sb="2" eb="3">
      <t>ネン</t>
    </rPh>
    <phoneticPr fontId="5"/>
  </si>
  <si>
    <t>原油換算エネルギー使用量</t>
    <rPh sb="0" eb="4">
      <t>ゲンユカンザン</t>
    </rPh>
    <rPh sb="9" eb="12">
      <t>シヨウリョウ</t>
    </rPh>
    <phoneticPr fontId="5"/>
  </si>
  <si>
    <t>kl/年</t>
    <rPh sb="3" eb="4">
      <t>ネン</t>
    </rPh>
    <phoneticPr fontId="5"/>
  </si>
  <si>
    <t>機種別内訳</t>
    <rPh sb="0" eb="3">
      <t>キシュベツ</t>
    </rPh>
    <rPh sb="3" eb="5">
      <t>ウチワケ</t>
    </rPh>
    <phoneticPr fontId="5"/>
  </si>
  <si>
    <t>削減効果</t>
    <rPh sb="0" eb="2">
      <t>サクゲン</t>
    </rPh>
    <rPh sb="2" eb="4">
      <t>コウカ</t>
    </rPh>
    <phoneticPr fontId="5"/>
  </si>
  <si>
    <t>メーカー・型番</t>
    <rPh sb="5" eb="7">
      <t>カタバン</t>
    </rPh>
    <phoneticPr fontId="5"/>
  </si>
  <si>
    <t>消費電力（a）</t>
    <rPh sb="0" eb="2">
      <t>ショウヒ</t>
    </rPh>
    <rPh sb="2" eb="4">
      <t>デンリョク</t>
    </rPh>
    <phoneticPr fontId="5"/>
  </si>
  <si>
    <t>数量(n)</t>
    <rPh sb="0" eb="2">
      <t>スウリョウ</t>
    </rPh>
    <phoneticPr fontId="5"/>
  </si>
  <si>
    <t>年間消費電力量(E)</t>
    <rPh sb="0" eb="2">
      <t>ネンカン</t>
    </rPh>
    <rPh sb="2" eb="7">
      <t>ショウヒデンリョクリョウ</t>
    </rPh>
    <phoneticPr fontId="5"/>
  </si>
  <si>
    <t>CO2排出量
(C)</t>
    <rPh sb="3" eb="6">
      <t>ハイシュツリョウ</t>
    </rPh>
    <phoneticPr fontId="5"/>
  </si>
  <si>
    <t>消費電力（a'）</t>
    <rPh sb="0" eb="2">
      <t>ショウヒ</t>
    </rPh>
    <rPh sb="2" eb="4">
      <t>デンリョク</t>
    </rPh>
    <phoneticPr fontId="5"/>
  </si>
  <si>
    <t>数量(n')</t>
    <rPh sb="0" eb="2">
      <t>スウリョウ</t>
    </rPh>
    <phoneticPr fontId="5"/>
  </si>
  <si>
    <t>年間使用日数</t>
    <rPh sb="0" eb="2">
      <t>ネンカン</t>
    </rPh>
    <rPh sb="2" eb="4">
      <t>シヨウ</t>
    </rPh>
    <rPh sb="4" eb="6">
      <t>ニッスウ</t>
    </rPh>
    <phoneticPr fontId="5"/>
  </si>
  <si>
    <t>年間消費電力量(E')</t>
    <rPh sb="0" eb="2">
      <t>ネンカン</t>
    </rPh>
    <rPh sb="2" eb="7">
      <t>ショウヒデンリョクリョウ</t>
    </rPh>
    <phoneticPr fontId="5"/>
  </si>
  <si>
    <t>CO2排出量(C')</t>
    <rPh sb="3" eb="6">
      <t>ハイシュツリョウ</t>
    </rPh>
    <phoneticPr fontId="5"/>
  </si>
  <si>
    <t>電力削減量（E-E’）</t>
    <rPh sb="0" eb="2">
      <t>デンリョク</t>
    </rPh>
    <rPh sb="2" eb="5">
      <t>サクゲンリョウ</t>
    </rPh>
    <phoneticPr fontId="5"/>
  </si>
  <si>
    <t>CO2削減量（C-C’）</t>
    <rPh sb="3" eb="6">
      <t>サクゲンリョウ</t>
    </rPh>
    <phoneticPr fontId="5"/>
  </si>
  <si>
    <t>W/台</t>
    <rPh sb="2" eb="3">
      <t>ダイ</t>
    </rPh>
    <phoneticPr fontId="5"/>
  </si>
  <si>
    <t>台</t>
    <rPh sb="0" eb="1">
      <t>ダイ</t>
    </rPh>
    <phoneticPr fontId="5"/>
  </si>
  <si>
    <t>時間／日</t>
    <rPh sb="0" eb="2">
      <t>ジカン</t>
    </rPh>
    <rPh sb="3" eb="4">
      <t>ニチ</t>
    </rPh>
    <phoneticPr fontId="5"/>
  </si>
  <si>
    <t>日／年</t>
    <rPh sb="0" eb="1">
      <t>ニチ</t>
    </rPh>
    <rPh sb="2" eb="3">
      <t>ネン</t>
    </rPh>
    <phoneticPr fontId="5"/>
  </si>
  <si>
    <t>時間／年</t>
    <rPh sb="0" eb="2">
      <t>ジカン</t>
    </rPh>
    <rPh sb="3" eb="4">
      <t>ネン</t>
    </rPh>
    <phoneticPr fontId="5"/>
  </si>
  <si>
    <t>機種1</t>
    <rPh sb="0" eb="2">
      <t>キシュ</t>
    </rPh>
    <phoneticPr fontId="5"/>
  </si>
  <si>
    <t>機種2</t>
    <rPh sb="0" eb="2">
      <t>キシュ</t>
    </rPh>
    <phoneticPr fontId="5"/>
  </si>
  <si>
    <t>機種3</t>
    <rPh sb="0" eb="2">
      <t>キシュ</t>
    </rPh>
    <phoneticPr fontId="5"/>
  </si>
  <si>
    <t>機種4</t>
    <rPh sb="0" eb="2">
      <t>キシュ</t>
    </rPh>
    <phoneticPr fontId="5"/>
  </si>
  <si>
    <t>機種5</t>
    <rPh sb="0" eb="2">
      <t>キシュ</t>
    </rPh>
    <phoneticPr fontId="5"/>
  </si>
  <si>
    <t>機種6</t>
    <rPh sb="0" eb="2">
      <t>キシュ</t>
    </rPh>
    <phoneticPr fontId="5"/>
  </si>
  <si>
    <t>機種7</t>
    <rPh sb="0" eb="2">
      <t>キシュ</t>
    </rPh>
    <phoneticPr fontId="5"/>
  </si>
  <si>
    <t>機種8</t>
    <rPh sb="0" eb="2">
      <t>キシュ</t>
    </rPh>
    <phoneticPr fontId="5"/>
  </si>
  <si>
    <t>機種9</t>
    <rPh sb="0" eb="2">
      <t>キシュ</t>
    </rPh>
    <phoneticPr fontId="5"/>
  </si>
  <si>
    <t>機種10</t>
    <rPh sb="0" eb="2">
      <t>キシュ</t>
    </rPh>
    <phoneticPr fontId="5"/>
  </si>
  <si>
    <t>機種11</t>
    <rPh sb="0" eb="2">
      <t>キシュ</t>
    </rPh>
    <phoneticPr fontId="5"/>
  </si>
  <si>
    <t>機種12</t>
    <rPh sb="0" eb="2">
      <t>キシュ</t>
    </rPh>
    <phoneticPr fontId="5"/>
  </si>
  <si>
    <t>機種13</t>
    <rPh sb="0" eb="2">
      <t>キシュ</t>
    </rPh>
    <phoneticPr fontId="5"/>
  </si>
  <si>
    <t>機種14</t>
    <rPh sb="0" eb="2">
      <t>キシュ</t>
    </rPh>
    <phoneticPr fontId="5"/>
  </si>
  <si>
    <t>機種15</t>
    <rPh sb="0" eb="2">
      <t>キシュ</t>
    </rPh>
    <phoneticPr fontId="5"/>
  </si>
  <si>
    <t>機種16</t>
    <rPh sb="0" eb="2">
      <t>キシュ</t>
    </rPh>
    <phoneticPr fontId="5"/>
  </si>
  <si>
    <t>機種17</t>
    <rPh sb="0" eb="2">
      <t>キシュ</t>
    </rPh>
    <phoneticPr fontId="5"/>
  </si>
  <si>
    <t>機種18</t>
    <rPh sb="0" eb="2">
      <t>キシュ</t>
    </rPh>
    <phoneticPr fontId="5"/>
  </si>
  <si>
    <t>機種19</t>
    <rPh sb="0" eb="2">
      <t>キシュ</t>
    </rPh>
    <phoneticPr fontId="5"/>
  </si>
  <si>
    <t>機種20</t>
    <rPh sb="0" eb="2">
      <t>キシュ</t>
    </rPh>
    <phoneticPr fontId="5"/>
  </si>
  <si>
    <t>機種21</t>
    <rPh sb="0" eb="2">
      <t>キシュ</t>
    </rPh>
    <phoneticPr fontId="5"/>
  </si>
  <si>
    <t>機種22</t>
    <rPh sb="0" eb="2">
      <t>キシュ</t>
    </rPh>
    <phoneticPr fontId="5"/>
  </si>
  <si>
    <t>機種23</t>
    <rPh sb="0" eb="2">
      <t>キシュ</t>
    </rPh>
    <phoneticPr fontId="5"/>
  </si>
  <si>
    <t>機種24</t>
    <rPh sb="0" eb="2">
      <t>キシュ</t>
    </rPh>
    <phoneticPr fontId="5"/>
  </si>
  <si>
    <t>機種25</t>
    <rPh sb="0" eb="2">
      <t>キシュ</t>
    </rPh>
    <phoneticPr fontId="5"/>
  </si>
  <si>
    <t>機種26</t>
    <rPh sb="0" eb="2">
      <t>キシュ</t>
    </rPh>
    <phoneticPr fontId="5"/>
  </si>
  <si>
    <t>機種27</t>
    <rPh sb="0" eb="2">
      <t>キシュ</t>
    </rPh>
    <phoneticPr fontId="5"/>
  </si>
  <si>
    <t>機種28</t>
    <rPh sb="0" eb="2">
      <t>キシュ</t>
    </rPh>
    <phoneticPr fontId="5"/>
  </si>
  <si>
    <t>機種29</t>
    <rPh sb="0" eb="2">
      <t>キシュ</t>
    </rPh>
    <phoneticPr fontId="5"/>
  </si>
  <si>
    <t>機種30</t>
    <rPh sb="0" eb="2">
      <t>キシュ</t>
    </rPh>
    <phoneticPr fontId="5"/>
  </si>
  <si>
    <t>機種31</t>
    <rPh sb="0" eb="2">
      <t>キシュ</t>
    </rPh>
    <phoneticPr fontId="5"/>
  </si>
  <si>
    <t>機種32</t>
    <rPh sb="0" eb="2">
      <t>キシュ</t>
    </rPh>
    <phoneticPr fontId="5"/>
  </si>
  <si>
    <t>機種33</t>
    <rPh sb="0" eb="2">
      <t>キシュ</t>
    </rPh>
    <phoneticPr fontId="5"/>
  </si>
  <si>
    <t>機種34</t>
    <rPh sb="0" eb="2">
      <t>キシュ</t>
    </rPh>
    <phoneticPr fontId="5"/>
  </si>
  <si>
    <t>機種35</t>
    <rPh sb="0" eb="2">
      <t>キシュ</t>
    </rPh>
    <phoneticPr fontId="5"/>
  </si>
  <si>
    <t>機種36</t>
    <rPh sb="0" eb="2">
      <t>キシュ</t>
    </rPh>
    <phoneticPr fontId="5"/>
  </si>
  <si>
    <t>機種37</t>
    <rPh sb="0" eb="2">
      <t>キシュ</t>
    </rPh>
    <phoneticPr fontId="5"/>
  </si>
  <si>
    <t>機種38</t>
    <rPh sb="0" eb="2">
      <t>キシュ</t>
    </rPh>
    <phoneticPr fontId="5"/>
  </si>
  <si>
    <t>機種39</t>
    <rPh sb="0" eb="2">
      <t>キシュ</t>
    </rPh>
    <phoneticPr fontId="5"/>
  </si>
  <si>
    <t>機種40</t>
    <rPh sb="0" eb="2">
      <t>キシュ</t>
    </rPh>
    <phoneticPr fontId="5"/>
  </si>
  <si>
    <t>機種41</t>
    <rPh sb="0" eb="2">
      <t>キシュ</t>
    </rPh>
    <phoneticPr fontId="5"/>
  </si>
  <si>
    <t>機種42</t>
    <rPh sb="0" eb="2">
      <t>キシュ</t>
    </rPh>
    <phoneticPr fontId="5"/>
  </si>
  <si>
    <t>機種43</t>
    <rPh sb="0" eb="2">
      <t>キシュ</t>
    </rPh>
    <phoneticPr fontId="5"/>
  </si>
  <si>
    <t>機種44</t>
    <rPh sb="0" eb="2">
      <t>キシュ</t>
    </rPh>
    <phoneticPr fontId="5"/>
  </si>
  <si>
    <t>機種45</t>
    <rPh sb="0" eb="2">
      <t>キシュ</t>
    </rPh>
    <phoneticPr fontId="5"/>
  </si>
  <si>
    <t>機種46</t>
    <rPh sb="0" eb="2">
      <t>キシュ</t>
    </rPh>
    <phoneticPr fontId="5"/>
  </si>
  <si>
    <t>機種47</t>
    <rPh sb="0" eb="2">
      <t>キシュ</t>
    </rPh>
    <phoneticPr fontId="5"/>
  </si>
  <si>
    <t>機種48</t>
    <rPh sb="0" eb="2">
      <t>キシュ</t>
    </rPh>
    <phoneticPr fontId="5"/>
  </si>
  <si>
    <t>機種49</t>
    <rPh sb="0" eb="2">
      <t>キシュ</t>
    </rPh>
    <phoneticPr fontId="5"/>
  </si>
  <si>
    <t>機種50</t>
    <rPh sb="0" eb="2">
      <t>キシュ</t>
    </rPh>
    <phoneticPr fontId="5"/>
  </si>
  <si>
    <t>負荷率</t>
    <rPh sb="0" eb="3">
      <t>フカリツ</t>
    </rPh>
    <phoneticPr fontId="5"/>
  </si>
  <si>
    <t>電力消費量</t>
    <rPh sb="0" eb="2">
      <t>デンリョク</t>
    </rPh>
    <rPh sb="2" eb="5">
      <t>ショウヒリョウ</t>
    </rPh>
    <phoneticPr fontId="5"/>
  </si>
  <si>
    <t>CO2排出量</t>
    <rPh sb="3" eb="5">
      <t>ハイシュツ</t>
    </rPh>
    <rPh sb="5" eb="6">
      <t>リョウ</t>
    </rPh>
    <phoneticPr fontId="5"/>
  </si>
  <si>
    <t>更新後</t>
    <rPh sb="0" eb="3">
      <t>コウシンゴ</t>
    </rPh>
    <phoneticPr fontId="5"/>
  </si>
  <si>
    <t>冷房</t>
    <rPh sb="0" eb="2">
      <t>レイボウ</t>
    </rPh>
    <phoneticPr fontId="5"/>
  </si>
  <si>
    <t>暖房</t>
    <rPh sb="0" eb="2">
      <t>ダンボウ</t>
    </rPh>
    <phoneticPr fontId="5"/>
  </si>
  <si>
    <t>年間</t>
    <rPh sb="0" eb="2">
      <t>ネンカン</t>
    </rPh>
    <phoneticPr fontId="5"/>
  </si>
  <si>
    <t>導入年度（西暦）</t>
    <rPh sb="0" eb="4">
      <t>ドウニュウネンド</t>
    </rPh>
    <rPh sb="5" eb="7">
      <t>セイレキ</t>
    </rPh>
    <phoneticPr fontId="5"/>
  </si>
  <si>
    <t>台数(n)</t>
    <rPh sb="0" eb="2">
      <t>ダイスウ</t>
    </rPh>
    <phoneticPr fontId="5"/>
  </si>
  <si>
    <r>
      <t>冷房時定格消費電力（</t>
    </r>
    <r>
      <rPr>
        <sz val="11"/>
        <color theme="1"/>
        <rFont val="游ゴシック"/>
        <family val="3"/>
        <charset val="128"/>
        <scheme val="minor"/>
      </rPr>
      <t>a</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7" eb="9">
      <t>デンリョク</t>
    </rPh>
    <phoneticPr fontId="5"/>
  </si>
  <si>
    <r>
      <t>年間冷房時間(d</t>
    </r>
    <r>
      <rPr>
        <vertAlign val="subscript"/>
        <sz val="11"/>
        <color theme="1"/>
        <rFont val="游ゴシック"/>
        <family val="3"/>
        <charset val="128"/>
        <scheme val="minor"/>
      </rPr>
      <t>1</t>
    </r>
    <r>
      <rPr>
        <sz val="11"/>
        <color theme="1"/>
        <rFont val="游ゴシック"/>
        <family val="2"/>
        <scheme val="minor"/>
      </rPr>
      <t>)</t>
    </r>
    <rPh sb="0" eb="2">
      <t>ネンカン</t>
    </rPh>
    <rPh sb="2" eb="4">
      <t>レイボウ</t>
    </rPh>
    <rPh sb="4" eb="6">
      <t>ジカン</t>
    </rPh>
    <phoneticPr fontId="5"/>
  </si>
  <si>
    <r>
      <t>暖房時定格消費電力（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0" eb="2">
      <t>ダンボウ</t>
    </rPh>
    <rPh sb="2" eb="3">
      <t>ジ</t>
    </rPh>
    <rPh sb="5" eb="7">
      <t>ショウヒ</t>
    </rPh>
    <rPh sb="7" eb="9">
      <t>デンリョク</t>
    </rPh>
    <phoneticPr fontId="5"/>
  </si>
  <si>
    <r>
      <t>年間暖房時間(d</t>
    </r>
    <r>
      <rPr>
        <vertAlign val="subscript"/>
        <sz val="11"/>
        <color theme="1"/>
        <rFont val="游ゴシック"/>
        <family val="3"/>
        <charset val="128"/>
        <scheme val="minor"/>
      </rPr>
      <t>2</t>
    </r>
    <r>
      <rPr>
        <sz val="11"/>
        <color theme="1"/>
        <rFont val="游ゴシック"/>
        <family val="2"/>
        <scheme val="minor"/>
      </rPr>
      <t>)</t>
    </r>
    <rPh sb="0" eb="2">
      <t>ネンカン</t>
    </rPh>
    <rPh sb="4" eb="6">
      <t>ジカン</t>
    </rPh>
    <phoneticPr fontId="5"/>
  </si>
  <si>
    <r>
      <t>年間電力消費量(E</t>
    </r>
    <r>
      <rPr>
        <sz val="11"/>
        <color theme="1"/>
        <rFont val="游ゴシック"/>
        <family val="2"/>
        <scheme val="minor"/>
      </rPr>
      <t>)</t>
    </r>
    <phoneticPr fontId="5"/>
  </si>
  <si>
    <r>
      <t>CO2排出量(C</t>
    </r>
    <r>
      <rPr>
        <vertAlign val="subscript"/>
        <sz val="11"/>
        <color theme="1"/>
        <rFont val="游ゴシック"/>
        <family val="3"/>
        <charset val="128"/>
        <scheme val="minor"/>
      </rPr>
      <t>1</t>
    </r>
    <r>
      <rPr>
        <sz val="11"/>
        <color theme="1"/>
        <rFont val="游ゴシック"/>
        <family val="2"/>
        <scheme val="minor"/>
      </rPr>
      <t>)</t>
    </r>
    <rPh sb="3" eb="6">
      <t>ハイシュツリョウ</t>
    </rPh>
    <phoneticPr fontId="5"/>
  </si>
  <si>
    <t>台数(n')</t>
    <rPh sb="0" eb="2">
      <t>ダイスウ</t>
    </rPh>
    <phoneticPr fontId="5"/>
  </si>
  <si>
    <r>
      <t>冷房時定格消費電力（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7" eb="9">
      <t>デンリョク</t>
    </rPh>
    <phoneticPr fontId="5"/>
  </si>
  <si>
    <r>
      <t>年間冷房時間(d'</t>
    </r>
    <r>
      <rPr>
        <vertAlign val="subscript"/>
        <sz val="11"/>
        <color theme="1"/>
        <rFont val="游ゴシック"/>
        <family val="3"/>
        <charset val="128"/>
        <scheme val="minor"/>
      </rPr>
      <t>1</t>
    </r>
    <r>
      <rPr>
        <sz val="11"/>
        <color theme="1"/>
        <rFont val="游ゴシック"/>
        <family val="2"/>
        <scheme val="minor"/>
      </rPr>
      <t>)</t>
    </r>
    <rPh sb="0" eb="2">
      <t>ネンカン</t>
    </rPh>
    <rPh sb="2" eb="4">
      <t>レイボウ</t>
    </rPh>
    <rPh sb="4" eb="6">
      <t>ジカン</t>
    </rPh>
    <phoneticPr fontId="5"/>
  </si>
  <si>
    <r>
      <t>暖房時定格消費電力（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0" eb="2">
      <t>ダンボウ</t>
    </rPh>
    <rPh sb="2" eb="3">
      <t>ジ</t>
    </rPh>
    <rPh sb="5" eb="7">
      <t>ショウヒ</t>
    </rPh>
    <rPh sb="7" eb="9">
      <t>デンリョク</t>
    </rPh>
    <phoneticPr fontId="5"/>
  </si>
  <si>
    <r>
      <t>年間暖房時間(d'</t>
    </r>
    <r>
      <rPr>
        <vertAlign val="subscript"/>
        <sz val="11"/>
        <color theme="1"/>
        <rFont val="游ゴシック"/>
        <family val="3"/>
        <charset val="128"/>
        <scheme val="minor"/>
      </rPr>
      <t>2</t>
    </r>
    <r>
      <rPr>
        <sz val="11"/>
        <color theme="1"/>
        <rFont val="游ゴシック"/>
        <family val="2"/>
        <scheme val="minor"/>
      </rPr>
      <t>)</t>
    </r>
    <rPh sb="0" eb="2">
      <t>ネンカン</t>
    </rPh>
    <rPh sb="4" eb="6">
      <t>ジカン</t>
    </rPh>
    <phoneticPr fontId="5"/>
  </si>
  <si>
    <r>
      <t>年間電力消費量(E'</t>
    </r>
    <r>
      <rPr>
        <sz val="11"/>
        <color theme="1"/>
        <rFont val="游ゴシック"/>
        <family val="2"/>
        <scheme val="minor"/>
      </rPr>
      <t>)</t>
    </r>
    <phoneticPr fontId="5"/>
  </si>
  <si>
    <r>
      <t>CO2排出量(C'</t>
    </r>
    <r>
      <rPr>
        <vertAlign val="subscript"/>
        <sz val="11"/>
        <color theme="1"/>
        <rFont val="游ゴシック"/>
        <family val="3"/>
        <charset val="128"/>
        <scheme val="minor"/>
      </rPr>
      <t>2</t>
    </r>
    <r>
      <rPr>
        <sz val="11"/>
        <color theme="1"/>
        <rFont val="游ゴシック"/>
        <family val="2"/>
        <scheme val="minor"/>
      </rPr>
      <t>)</t>
    </r>
    <rPh sb="3" eb="6">
      <t>ハイシュツリョウ</t>
    </rPh>
    <phoneticPr fontId="5"/>
  </si>
  <si>
    <t>kW/台</t>
    <rPh sb="3" eb="4">
      <t>ダイ</t>
    </rPh>
    <phoneticPr fontId="5"/>
  </si>
  <si>
    <t>(㎥/(kW・h))</t>
    <phoneticPr fontId="13"/>
  </si>
  <si>
    <t>13A</t>
    <phoneticPr fontId="13"/>
  </si>
  <si>
    <t>tCO2/㎥</t>
  </si>
  <si>
    <t>12A</t>
    <phoneticPr fontId="13"/>
  </si>
  <si>
    <t>ガス消費量</t>
    <rPh sb="2" eb="5">
      <t>ショウヒリョウ</t>
    </rPh>
    <phoneticPr fontId="5"/>
  </si>
  <si>
    <t>㎥/年</t>
    <rPh sb="2" eb="3">
      <t>ネン</t>
    </rPh>
    <phoneticPr fontId="5"/>
  </si>
  <si>
    <t>LP</t>
    <phoneticPr fontId="13"/>
  </si>
  <si>
    <t>tCO2/kg</t>
  </si>
  <si>
    <t>燃料種類</t>
    <rPh sb="0" eb="2">
      <t>ネンリョウ</t>
    </rPh>
    <rPh sb="2" eb="4">
      <t>シュルイ</t>
    </rPh>
    <phoneticPr fontId="13"/>
  </si>
  <si>
    <t>ガス種類</t>
    <rPh sb="2" eb="4">
      <t>シュルイ</t>
    </rPh>
    <phoneticPr fontId="13"/>
  </si>
  <si>
    <t>排出係数</t>
    <rPh sb="0" eb="4">
      <t>ハイシュツケイスウ</t>
    </rPh>
    <phoneticPr fontId="5"/>
  </si>
  <si>
    <t>体積換算K(㎥/(kW・h))</t>
    <rPh sb="0" eb="4">
      <t>タイセキカンサン</t>
    </rPh>
    <phoneticPr fontId="5"/>
  </si>
  <si>
    <t>単価</t>
    <rPh sb="0" eb="2">
      <t>タンカ</t>
    </rPh>
    <phoneticPr fontId="5"/>
  </si>
  <si>
    <r>
      <t>冷房時定格消費ガス量(b</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9" eb="10">
      <t>リョウ</t>
    </rPh>
    <phoneticPr fontId="5"/>
  </si>
  <si>
    <r>
      <t>暖房時定格消費ガス量(b</t>
    </r>
    <r>
      <rPr>
        <vertAlign val="subscript"/>
        <sz val="11"/>
        <color theme="1"/>
        <rFont val="游ゴシック"/>
        <family val="2"/>
        <scheme val="minor"/>
      </rPr>
      <t>2</t>
    </r>
    <r>
      <rPr>
        <sz val="11"/>
        <color theme="1"/>
        <rFont val="游ゴシック"/>
        <family val="2"/>
        <scheme val="minor"/>
      </rPr>
      <t>)</t>
    </r>
    <rPh sb="0" eb="2">
      <t>ダンボウ</t>
    </rPh>
    <rPh sb="2" eb="3">
      <t>ジ</t>
    </rPh>
    <rPh sb="3" eb="5">
      <t>テイカク</t>
    </rPh>
    <rPh sb="5" eb="7">
      <t>ショウヒ</t>
    </rPh>
    <rPh sb="9" eb="10">
      <t>リョウ</t>
    </rPh>
    <phoneticPr fontId="5"/>
  </si>
  <si>
    <t>年間定格消費ガス量（F）</t>
    <rPh sb="0" eb="2">
      <t>ネンカン</t>
    </rPh>
    <rPh sb="2" eb="4">
      <t>テイカク</t>
    </rPh>
    <rPh sb="4" eb="6">
      <t>ショウヒ</t>
    </rPh>
    <rPh sb="8" eb="9">
      <t>リョウ</t>
    </rPh>
    <phoneticPr fontId="5"/>
  </si>
  <si>
    <r>
      <t>冷房時定格消費ガス量(b'</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9" eb="10">
      <t>リョウ</t>
    </rPh>
    <phoneticPr fontId="5"/>
  </si>
  <si>
    <r>
      <t>暖房時定格消費ガス量('b</t>
    </r>
    <r>
      <rPr>
        <vertAlign val="subscript"/>
        <sz val="11"/>
        <color theme="1"/>
        <rFont val="游ゴシック"/>
        <family val="2"/>
        <scheme val="minor"/>
      </rPr>
      <t>2</t>
    </r>
    <r>
      <rPr>
        <sz val="11"/>
        <color theme="1"/>
        <rFont val="游ゴシック"/>
        <family val="2"/>
        <scheme val="minor"/>
      </rPr>
      <t>)</t>
    </r>
    <rPh sb="0" eb="2">
      <t>ダンボウ</t>
    </rPh>
    <rPh sb="2" eb="3">
      <t>ジ</t>
    </rPh>
    <rPh sb="3" eb="5">
      <t>テイカク</t>
    </rPh>
    <rPh sb="5" eb="7">
      <t>ショウヒ</t>
    </rPh>
    <rPh sb="9" eb="10">
      <t>リョウ</t>
    </rPh>
    <phoneticPr fontId="5"/>
  </si>
  <si>
    <t>年間定格消費ガス量（F’）</t>
    <rPh sb="0" eb="2">
      <t>ネンカン</t>
    </rPh>
    <rPh sb="2" eb="4">
      <t>テイカク</t>
    </rPh>
    <rPh sb="4" eb="6">
      <t>ショウヒ</t>
    </rPh>
    <rPh sb="8" eb="9">
      <t>リョウ</t>
    </rPh>
    <phoneticPr fontId="5"/>
  </si>
  <si>
    <r>
      <t>CO2排出量(C'</t>
    </r>
    <r>
      <rPr>
        <sz val="11"/>
        <color theme="1"/>
        <rFont val="游ゴシック"/>
        <family val="2"/>
        <scheme val="minor"/>
      </rPr>
      <t>)</t>
    </r>
    <rPh sb="3" eb="6">
      <t>ハイシュツリョウ</t>
    </rPh>
    <phoneticPr fontId="5"/>
  </si>
  <si>
    <t>燃料削減量(F-F')</t>
    <rPh sb="0" eb="2">
      <t>ネンリョウ</t>
    </rPh>
    <rPh sb="2" eb="4">
      <t>サクゲン</t>
    </rPh>
    <phoneticPr fontId="5"/>
  </si>
  <si>
    <t>㎥/年</t>
    <phoneticPr fontId="5"/>
  </si>
  <si>
    <t>ボイラー・給湯器の更新、燃料転換によるCO2削減量、光熱費削減量</t>
    <rPh sb="5" eb="8">
      <t>キュウトウキ</t>
    </rPh>
    <rPh sb="9" eb="11">
      <t>コウシン</t>
    </rPh>
    <rPh sb="12" eb="14">
      <t>ネンリョウ</t>
    </rPh>
    <rPh sb="14" eb="16">
      <t>テンカン</t>
    </rPh>
    <rPh sb="22" eb="25">
      <t>サクゲンリョウ</t>
    </rPh>
    <rPh sb="26" eb="29">
      <t>コウネツヒ</t>
    </rPh>
    <rPh sb="29" eb="32">
      <t>サクゲンリョウ</t>
    </rPh>
    <phoneticPr fontId="5"/>
  </si>
  <si>
    <t>原油換算使用量</t>
    <rPh sb="0" eb="4">
      <t>ゲンユカンザン</t>
    </rPh>
    <rPh sb="4" eb="7">
      <t>シヨウリョウ</t>
    </rPh>
    <phoneticPr fontId="5"/>
  </si>
  <si>
    <t>燃料単位</t>
    <rPh sb="0" eb="4">
      <t>ネンリョウタンイ</t>
    </rPh>
    <phoneticPr fontId="5"/>
  </si>
  <si>
    <t>原油換算発熱量</t>
    <rPh sb="0" eb="4">
      <t>ゲンユカンザン</t>
    </rPh>
    <rPh sb="4" eb="7">
      <t>ハツネツリョウ</t>
    </rPh>
    <phoneticPr fontId="5"/>
  </si>
  <si>
    <t>都市ガス</t>
    <rPh sb="0" eb="2">
      <t>トシ</t>
    </rPh>
    <phoneticPr fontId="7"/>
  </si>
  <si>
    <t>燃料単位</t>
    <rPh sb="0" eb="2">
      <t>ネンリョウ</t>
    </rPh>
    <rPh sb="2" eb="4">
      <t>タンイ</t>
    </rPh>
    <phoneticPr fontId="5"/>
  </si>
  <si>
    <t>能力</t>
    <rPh sb="0" eb="2">
      <t>ノウリョク</t>
    </rPh>
    <phoneticPr fontId="5"/>
  </si>
  <si>
    <t>効率</t>
    <rPh sb="0" eb="2">
      <t>コウリツ</t>
    </rPh>
    <phoneticPr fontId="5"/>
  </si>
  <si>
    <t>燃料消費量(A)</t>
    <phoneticPr fontId="5"/>
  </si>
  <si>
    <t>必要熱量</t>
    <rPh sb="0" eb="2">
      <t>ヒツヨウ</t>
    </rPh>
    <rPh sb="2" eb="4">
      <t>ネツリョウ</t>
    </rPh>
    <phoneticPr fontId="5"/>
  </si>
  <si>
    <t>年間燃料消費量(F)</t>
    <rPh sb="0" eb="2">
      <t>ネンカン</t>
    </rPh>
    <rPh sb="6" eb="7">
      <t>リョウ</t>
    </rPh>
    <phoneticPr fontId="5"/>
  </si>
  <si>
    <t>CO2排出量(C)</t>
    <rPh sb="3" eb="6">
      <t>ハイシュツリョウ</t>
    </rPh>
    <phoneticPr fontId="5"/>
  </si>
  <si>
    <t>原油換算使用量</t>
    <phoneticPr fontId="5"/>
  </si>
  <si>
    <t>燃料消費量(A')</t>
    <phoneticPr fontId="5"/>
  </si>
  <si>
    <t>年間燃料消費量(F')</t>
    <rPh sb="0" eb="2">
      <t>ネンカン</t>
    </rPh>
    <rPh sb="6" eb="7">
      <t>リョウ</t>
    </rPh>
    <phoneticPr fontId="5"/>
  </si>
  <si>
    <t>CO2削減量(C-C')</t>
    <rPh sb="3" eb="6">
      <t>サクゲンリョウ</t>
    </rPh>
    <phoneticPr fontId="5"/>
  </si>
  <si>
    <t>％</t>
    <phoneticPr fontId="5"/>
  </si>
  <si>
    <t>MJ</t>
    <phoneticPr fontId="5"/>
  </si>
  <si>
    <t>円</t>
    <rPh sb="0" eb="1">
      <t>エン</t>
    </rPh>
    <phoneticPr fontId="5"/>
  </si>
  <si>
    <t>必要熱量換算</t>
    <rPh sb="0" eb="4">
      <t>ヒツヨウネツリョウ</t>
    </rPh>
    <rPh sb="4" eb="6">
      <t>カンサン</t>
    </rPh>
    <phoneticPr fontId="5"/>
  </si>
  <si>
    <t>設備1</t>
    <rPh sb="0" eb="2">
      <t>セツビ</t>
    </rPh>
    <phoneticPr fontId="5"/>
  </si>
  <si>
    <t>設備2</t>
    <rPh sb="0" eb="2">
      <t>セツビ</t>
    </rPh>
    <phoneticPr fontId="5"/>
  </si>
  <si>
    <t>設備3</t>
    <rPh sb="0" eb="2">
      <t>セツビ</t>
    </rPh>
    <phoneticPr fontId="5"/>
  </si>
  <si>
    <t>設備4</t>
    <rPh sb="0" eb="2">
      <t>セツビ</t>
    </rPh>
    <phoneticPr fontId="5"/>
  </si>
  <si>
    <t>設備5</t>
    <rPh sb="0" eb="2">
      <t>セツビ</t>
    </rPh>
    <phoneticPr fontId="5"/>
  </si>
  <si>
    <t>設備6</t>
    <rPh sb="0" eb="2">
      <t>セツビ</t>
    </rPh>
    <phoneticPr fontId="5"/>
  </si>
  <si>
    <t>設備7</t>
    <rPh sb="0" eb="2">
      <t>セツビ</t>
    </rPh>
    <phoneticPr fontId="5"/>
  </si>
  <si>
    <t>設備8</t>
    <rPh sb="0" eb="2">
      <t>セツビ</t>
    </rPh>
    <phoneticPr fontId="5"/>
  </si>
  <si>
    <t>設備9</t>
    <rPh sb="0" eb="2">
      <t>セツビ</t>
    </rPh>
    <phoneticPr fontId="5"/>
  </si>
  <si>
    <t>設備10</t>
    <rPh sb="0" eb="2">
      <t>セツビ</t>
    </rPh>
    <phoneticPr fontId="5"/>
  </si>
  <si>
    <t>設備11</t>
    <rPh sb="0" eb="2">
      <t>セツビ</t>
    </rPh>
    <phoneticPr fontId="5"/>
  </si>
  <si>
    <t>設備12</t>
    <rPh sb="0" eb="2">
      <t>セツビ</t>
    </rPh>
    <phoneticPr fontId="5"/>
  </si>
  <si>
    <t>設備13</t>
    <rPh sb="0" eb="2">
      <t>セツビ</t>
    </rPh>
    <phoneticPr fontId="5"/>
  </si>
  <si>
    <t>設備14</t>
    <rPh sb="0" eb="2">
      <t>セツビ</t>
    </rPh>
    <phoneticPr fontId="5"/>
  </si>
  <si>
    <t>設備15</t>
    <rPh sb="0" eb="2">
      <t>セツビ</t>
    </rPh>
    <phoneticPr fontId="5"/>
  </si>
  <si>
    <t>その他設備の更新</t>
    <rPh sb="2" eb="5">
      <t>タセツビ</t>
    </rPh>
    <rPh sb="6" eb="8">
      <t>コウシン</t>
    </rPh>
    <phoneticPr fontId="5"/>
  </si>
  <si>
    <t>その他設備の更新によるCO2削減量、光熱費削減量</t>
    <rPh sb="2" eb="3">
      <t>タ</t>
    </rPh>
    <rPh sb="3" eb="5">
      <t>セツビ</t>
    </rPh>
    <rPh sb="6" eb="8">
      <t>コウシン</t>
    </rPh>
    <rPh sb="14" eb="17">
      <t>サクゲンリョウ</t>
    </rPh>
    <rPh sb="18" eb="21">
      <t>コウネツヒ</t>
    </rPh>
    <rPh sb="21" eb="24">
      <t>サクゲンリョウ</t>
    </rPh>
    <phoneticPr fontId="5"/>
  </si>
  <si>
    <t>燃料消費量</t>
    <rPh sb="0" eb="2">
      <t>ネンリョウ</t>
    </rPh>
    <rPh sb="2" eb="5">
      <t>ショウヒリョウ</t>
    </rPh>
    <phoneticPr fontId="5"/>
  </si>
  <si>
    <t>設備16</t>
    <rPh sb="0" eb="2">
      <t>セツビ</t>
    </rPh>
    <phoneticPr fontId="5"/>
  </si>
  <si>
    <t>設備17</t>
    <rPh sb="0" eb="2">
      <t>セツビ</t>
    </rPh>
    <phoneticPr fontId="5"/>
  </si>
  <si>
    <t>設備18</t>
    <rPh sb="0" eb="2">
      <t>セツビ</t>
    </rPh>
    <phoneticPr fontId="5"/>
  </si>
  <si>
    <t>設備19</t>
    <rPh sb="0" eb="2">
      <t>セツビ</t>
    </rPh>
    <phoneticPr fontId="5"/>
  </si>
  <si>
    <t>設備20</t>
    <rPh sb="0" eb="2">
      <t>セツビ</t>
    </rPh>
    <phoneticPr fontId="5"/>
  </si>
  <si>
    <t>モーター更新によるCO2削減量、光熱費削減量</t>
    <rPh sb="4" eb="6">
      <t>コウシン</t>
    </rPh>
    <rPh sb="12" eb="15">
      <t>サクゲンリョウ</t>
    </rPh>
    <rPh sb="16" eb="19">
      <t>コウネツヒ</t>
    </rPh>
    <rPh sb="19" eb="22">
      <t>サクゲンリョウ</t>
    </rPh>
    <phoneticPr fontId="5"/>
  </si>
  <si>
    <t>規格</t>
    <rPh sb="0" eb="2">
      <t>キカク</t>
    </rPh>
    <phoneticPr fontId="5"/>
  </si>
  <si>
    <t>モータ数(n)</t>
    <rPh sb="3" eb="4">
      <t>スウ</t>
    </rPh>
    <phoneticPr fontId="5"/>
  </si>
  <si>
    <t>効率タイプ</t>
    <rPh sb="0" eb="2">
      <t>コウリツ</t>
    </rPh>
    <phoneticPr fontId="5"/>
  </si>
  <si>
    <t>定格出力(a)</t>
    <rPh sb="0" eb="2">
      <t>テイカク</t>
    </rPh>
    <rPh sb="2" eb="4">
      <t>シュツリョク</t>
    </rPh>
    <phoneticPr fontId="5"/>
  </si>
  <si>
    <t>極数</t>
    <rPh sb="0" eb="1">
      <t>キョク</t>
    </rPh>
    <rPh sb="1" eb="2">
      <t>スウ</t>
    </rPh>
    <phoneticPr fontId="5"/>
  </si>
  <si>
    <t>効率(p)</t>
    <rPh sb="0" eb="2">
      <t>コウリツ</t>
    </rPh>
    <phoneticPr fontId="5"/>
  </si>
  <si>
    <t>消費電力(b=a/p)</t>
    <rPh sb="0" eb="4">
      <t>ショウヒデンリョク</t>
    </rPh>
    <phoneticPr fontId="5"/>
  </si>
  <si>
    <t>負荷率(r)</t>
    <rPh sb="0" eb="3">
      <t>フカリツ</t>
    </rPh>
    <phoneticPr fontId="5"/>
  </si>
  <si>
    <r>
      <t>CO2排出量(C</t>
    </r>
    <r>
      <rPr>
        <sz val="11"/>
        <color theme="1"/>
        <rFont val="游ゴシック"/>
        <family val="2"/>
        <scheme val="minor"/>
      </rPr>
      <t>)</t>
    </r>
    <phoneticPr fontId="5"/>
  </si>
  <si>
    <t>モータ数(n')</t>
    <rPh sb="3" eb="4">
      <t>スウ</t>
    </rPh>
    <phoneticPr fontId="5"/>
  </si>
  <si>
    <t>定格出力(a')</t>
    <rPh sb="0" eb="2">
      <t>テイカク</t>
    </rPh>
    <rPh sb="2" eb="4">
      <t>シュツリョク</t>
    </rPh>
    <phoneticPr fontId="5"/>
  </si>
  <si>
    <t>効率(p')</t>
    <rPh sb="0" eb="2">
      <t>コウリツ</t>
    </rPh>
    <phoneticPr fontId="5"/>
  </si>
  <si>
    <t>消費電力(b'=a'/p')</t>
    <rPh sb="0" eb="4">
      <t>ショウヒデンリョク</t>
    </rPh>
    <phoneticPr fontId="5"/>
  </si>
  <si>
    <t>負荷率(r')</t>
    <rPh sb="0" eb="3">
      <t>フカリツ</t>
    </rPh>
    <phoneticPr fontId="5"/>
  </si>
  <si>
    <t>CO2排出量(C')</t>
    <phoneticPr fontId="5"/>
  </si>
  <si>
    <t>電力削減量（ΔE=E-E’）</t>
    <rPh sb="0" eb="2">
      <t>デンリョク</t>
    </rPh>
    <rPh sb="2" eb="5">
      <t>サクゲンリョウ</t>
    </rPh>
    <phoneticPr fontId="5"/>
  </si>
  <si>
    <t>CO2削減量（ΔC=C-C’）</t>
    <rPh sb="3" eb="6">
      <t>サクゲンリョウ</t>
    </rPh>
    <phoneticPr fontId="5"/>
  </si>
  <si>
    <t>h/年</t>
    <rPh sb="2" eb="3">
      <t>ネン</t>
    </rPh>
    <phoneticPr fontId="5"/>
  </si>
  <si>
    <t>IE3</t>
  </si>
  <si>
    <t>IE1</t>
  </si>
  <si>
    <t>変圧器の更新</t>
    <rPh sb="0" eb="3">
      <t>ヘンアツキ</t>
    </rPh>
    <rPh sb="4" eb="6">
      <t>コウシン</t>
    </rPh>
    <phoneticPr fontId="5"/>
  </si>
  <si>
    <t>変圧器更新によるCO2削減量、光熱費削減量</t>
    <rPh sb="0" eb="3">
      <t>ヘンアツキ</t>
    </rPh>
    <rPh sb="3" eb="5">
      <t>コウシン</t>
    </rPh>
    <rPh sb="11" eb="14">
      <t>サクゲンリョウ</t>
    </rPh>
    <rPh sb="15" eb="18">
      <t>コウネツヒ</t>
    </rPh>
    <rPh sb="18" eb="21">
      <t>サクゲンリョウ</t>
    </rPh>
    <phoneticPr fontId="5"/>
  </si>
  <si>
    <t>容量</t>
    <rPh sb="0" eb="2">
      <t>ヨウリョウ</t>
    </rPh>
    <phoneticPr fontId="5"/>
  </si>
  <si>
    <t>相数、変圧比</t>
    <rPh sb="0" eb="1">
      <t>ソウ</t>
    </rPh>
    <rPh sb="1" eb="2">
      <t>スウ</t>
    </rPh>
    <rPh sb="3" eb="5">
      <t>ヘンアツ</t>
    </rPh>
    <rPh sb="5" eb="6">
      <t>ヒ</t>
    </rPh>
    <phoneticPr fontId="5"/>
  </si>
  <si>
    <t>無負荷損（a）</t>
    <rPh sb="0" eb="4">
      <t>ムフカゾン</t>
    </rPh>
    <phoneticPr fontId="5"/>
  </si>
  <si>
    <t>負荷損(b)</t>
    <rPh sb="0" eb="3">
      <t>フカゾン</t>
    </rPh>
    <phoneticPr fontId="5"/>
  </si>
  <si>
    <t>負荷率
(r)</t>
    <rPh sb="0" eb="3">
      <t>フカリツ</t>
    </rPh>
    <phoneticPr fontId="5"/>
  </si>
  <si>
    <t>負荷率検査</t>
    <rPh sb="0" eb="3">
      <t>フカリツ</t>
    </rPh>
    <rPh sb="3" eb="5">
      <t>ケンサ</t>
    </rPh>
    <phoneticPr fontId="5"/>
  </si>
  <si>
    <t>kVA</t>
    <phoneticPr fontId="5"/>
  </si>
  <si>
    <t>W</t>
    <phoneticPr fontId="5"/>
  </si>
  <si>
    <t>排出係数</t>
    <rPh sb="0" eb="4">
      <t>ハイシュツケイスウ</t>
    </rPh>
    <phoneticPr fontId="7"/>
  </si>
  <si>
    <t>非表示シート</t>
    <rPh sb="0" eb="3">
      <t>ヒヒョウジ</t>
    </rPh>
    <phoneticPr fontId="5"/>
  </si>
  <si>
    <t>エネルギーの種類</t>
    <rPh sb="6" eb="8">
      <t>シュルイ</t>
    </rPh>
    <phoneticPr fontId="7"/>
  </si>
  <si>
    <t>単位発熱量</t>
    <phoneticPr fontId="5"/>
  </si>
  <si>
    <t>発熱量単位</t>
    <rPh sb="3" eb="5">
      <t>タンイ</t>
    </rPh>
    <phoneticPr fontId="7"/>
  </si>
  <si>
    <t>エネルギー単位</t>
    <rPh sb="5" eb="7">
      <t>タンイ</t>
    </rPh>
    <phoneticPr fontId="7"/>
  </si>
  <si>
    <t>炭素換算</t>
    <rPh sb="0" eb="4">
      <t>タンソカンサン</t>
    </rPh>
    <phoneticPr fontId="7"/>
  </si>
  <si>
    <t>単位</t>
    <rPh sb="0" eb="2">
      <t>タンイ</t>
    </rPh>
    <phoneticPr fontId="7"/>
  </si>
  <si>
    <t>CO2排出係数</t>
    <rPh sb="3" eb="5">
      <t>ハイシュツ</t>
    </rPh>
    <rPh sb="5" eb="7">
      <t>ケイスウ</t>
    </rPh>
    <phoneticPr fontId="7"/>
  </si>
  <si>
    <t>原油（コンデンセートを除く。）</t>
    <rPh sb="0" eb="2">
      <t>ゲンユ</t>
    </rPh>
    <rPh sb="11" eb="12">
      <t>ノゾ</t>
    </rPh>
    <phoneticPr fontId="7"/>
  </si>
  <si>
    <t>tC/GJ</t>
    <phoneticPr fontId="7"/>
  </si>
  <si>
    <t>原油のうちコンデンセート（NGL）</t>
    <rPh sb="0" eb="2">
      <t>ゲンユ</t>
    </rPh>
    <phoneticPr fontId="7"/>
  </si>
  <si>
    <t>揮発油（ガソリン）</t>
    <rPh sb="0" eb="3">
      <t>キハツユ</t>
    </rPh>
    <phoneticPr fontId="7"/>
  </si>
  <si>
    <t>ナフサ</t>
    <phoneticPr fontId="7"/>
  </si>
  <si>
    <t>軽油</t>
    <rPh sb="0" eb="2">
      <t>ケイユ</t>
    </rPh>
    <phoneticPr fontId="7"/>
  </si>
  <si>
    <t>B・C重油</t>
    <rPh sb="3" eb="5">
      <t>ジュウユ</t>
    </rPh>
    <phoneticPr fontId="7"/>
  </si>
  <si>
    <t>石油アスファルト</t>
    <rPh sb="0" eb="2">
      <t>セキユ</t>
    </rPh>
    <phoneticPr fontId="7"/>
  </si>
  <si>
    <t>石油コークス</t>
    <rPh sb="0" eb="2">
      <t>セキユ</t>
    </rPh>
    <phoneticPr fontId="7"/>
  </si>
  <si>
    <t>石油系炭化水素ガス</t>
    <rPh sb="0" eb="3">
      <t>セキユケイ</t>
    </rPh>
    <rPh sb="3" eb="5">
      <t>タンカ</t>
    </rPh>
    <rPh sb="5" eb="7">
      <t>スイソ</t>
    </rPh>
    <phoneticPr fontId="7"/>
  </si>
  <si>
    <t>液化天然ガス（LＮG）</t>
    <rPh sb="0" eb="2">
      <t>エキカ</t>
    </rPh>
    <rPh sb="2" eb="4">
      <t>テンネン</t>
    </rPh>
    <phoneticPr fontId="7"/>
  </si>
  <si>
    <t>その他可燃性天然ガス</t>
    <rPh sb="2" eb="3">
      <t>タ</t>
    </rPh>
    <rPh sb="3" eb="6">
      <t>カネンセイ</t>
    </rPh>
    <rPh sb="6" eb="8">
      <t>テンネン</t>
    </rPh>
    <phoneticPr fontId="7"/>
  </si>
  <si>
    <t>原料炭</t>
    <rPh sb="0" eb="2">
      <t>ゲンリョウ</t>
    </rPh>
    <rPh sb="2" eb="3">
      <t>タン</t>
    </rPh>
    <phoneticPr fontId="7"/>
  </si>
  <si>
    <t>一般炭</t>
    <rPh sb="0" eb="2">
      <t>イッパン</t>
    </rPh>
    <rPh sb="2" eb="3">
      <t>タン</t>
    </rPh>
    <phoneticPr fontId="7"/>
  </si>
  <si>
    <t>無煙炭</t>
    <rPh sb="0" eb="2">
      <t>ムエン</t>
    </rPh>
    <rPh sb="2" eb="3">
      <t>タン</t>
    </rPh>
    <phoneticPr fontId="7"/>
  </si>
  <si>
    <t>石炭コークス</t>
    <rPh sb="0" eb="2">
      <t>セキタン</t>
    </rPh>
    <phoneticPr fontId="7"/>
  </si>
  <si>
    <t>コールタール</t>
    <phoneticPr fontId="7"/>
  </si>
  <si>
    <t>コークス炉ガス</t>
    <rPh sb="4" eb="5">
      <t>ロ</t>
    </rPh>
    <phoneticPr fontId="7"/>
  </si>
  <si>
    <t>高炉ガス</t>
    <rPh sb="0" eb="2">
      <t>コウロ</t>
    </rPh>
    <phoneticPr fontId="7"/>
  </si>
  <si>
    <t>転炉ガス</t>
    <rPh sb="0" eb="2">
      <t>テンロ</t>
    </rPh>
    <phoneticPr fontId="7"/>
  </si>
  <si>
    <t>産業用蒸気</t>
    <rPh sb="0" eb="3">
      <t>サンギョウヨウ</t>
    </rPh>
    <rPh sb="3" eb="5">
      <t>ジョウキ</t>
    </rPh>
    <phoneticPr fontId="7"/>
  </si>
  <si>
    <t>tCO2/GJ</t>
    <phoneticPr fontId="7"/>
  </si>
  <si>
    <t>産業用以外の蒸気</t>
    <rPh sb="0" eb="3">
      <t>サンギョウヨウ</t>
    </rPh>
    <rPh sb="3" eb="5">
      <t>イガイ</t>
    </rPh>
    <rPh sb="6" eb="8">
      <t>ジョウキ</t>
    </rPh>
    <phoneticPr fontId="7"/>
  </si>
  <si>
    <t>温水</t>
    <rPh sb="0" eb="2">
      <t>オンスイ</t>
    </rPh>
    <phoneticPr fontId="7"/>
  </si>
  <si>
    <t>冷水</t>
    <rPh sb="0" eb="2">
      <t>レイスイ</t>
    </rPh>
    <phoneticPr fontId="7"/>
  </si>
  <si>
    <t>tCO2/kWh</t>
    <phoneticPr fontId="7"/>
  </si>
  <si>
    <t>2極</t>
    <phoneticPr fontId="5"/>
  </si>
  <si>
    <t>4極</t>
  </si>
  <si>
    <t>6極</t>
    <phoneticPr fontId="5"/>
  </si>
  <si>
    <t>8極</t>
    <rPh sb="1" eb="2">
      <t>キョク</t>
    </rPh>
    <phoneticPr fontId="5"/>
  </si>
  <si>
    <t>IE1</t>
    <phoneticPr fontId="5"/>
  </si>
  <si>
    <t>IE2</t>
    <phoneticPr fontId="5"/>
  </si>
  <si>
    <t>IE3</t>
    <phoneticPr fontId="5"/>
  </si>
  <si>
    <t>IE4</t>
    <phoneticPr fontId="5"/>
  </si>
  <si>
    <t>※台数(n)の増加は認められません。</t>
    <rPh sb="1" eb="3">
      <t>ダイスウ</t>
    </rPh>
    <rPh sb="7" eb="9">
      <t>ゾウカ</t>
    </rPh>
    <rPh sb="10" eb="11">
      <t>ミト</t>
    </rPh>
    <phoneticPr fontId="5"/>
  </si>
  <si>
    <t>入力例</t>
    <rPh sb="0" eb="2">
      <t>ニュウリョク</t>
    </rPh>
    <rPh sb="2" eb="3">
      <t>レイ</t>
    </rPh>
    <phoneticPr fontId="5"/>
  </si>
  <si>
    <t>入力例</t>
    <rPh sb="0" eb="2">
      <t>ニュウリョク</t>
    </rPh>
    <rPh sb="2" eb="3">
      <t>レイ</t>
    </rPh>
    <phoneticPr fontId="5"/>
  </si>
  <si>
    <t>3相：66kV→210V</t>
    <phoneticPr fontId="5"/>
  </si>
  <si>
    <t>冷房定格能力</t>
    <rPh sb="0" eb="2">
      <t>レイボウ</t>
    </rPh>
    <rPh sb="2" eb="4">
      <t>テイカク</t>
    </rPh>
    <rPh sb="4" eb="6">
      <t>ノウリョク</t>
    </rPh>
    <phoneticPr fontId="5"/>
  </si>
  <si>
    <t>暖房定格能力</t>
    <rPh sb="0" eb="2">
      <t>ダンボウ</t>
    </rPh>
    <rPh sb="2" eb="4">
      <t>テイカク</t>
    </rPh>
    <rPh sb="4" eb="6">
      <t>ノウリョク</t>
    </rPh>
    <phoneticPr fontId="5"/>
  </si>
  <si>
    <t>kW</t>
    <phoneticPr fontId="5"/>
  </si>
  <si>
    <t>更新前</t>
    <rPh sb="0" eb="2">
      <t>コウシン</t>
    </rPh>
    <rPh sb="2" eb="3">
      <t>マエ</t>
    </rPh>
    <phoneticPr fontId="5"/>
  </si>
  <si>
    <t>冷房</t>
    <rPh sb="0" eb="2">
      <t>レイボウ</t>
    </rPh>
    <phoneticPr fontId="5"/>
  </si>
  <si>
    <t>暖房</t>
    <rPh sb="0" eb="2">
      <t>ダンボウ</t>
    </rPh>
    <phoneticPr fontId="5"/>
  </si>
  <si>
    <t>定格能力合計（kW）</t>
    <rPh sb="0" eb="2">
      <t>テイカク</t>
    </rPh>
    <rPh sb="2" eb="4">
      <t>ノウリョク</t>
    </rPh>
    <rPh sb="4" eb="6">
      <t>ゴウケイ</t>
    </rPh>
    <phoneticPr fontId="5"/>
  </si>
  <si>
    <t>kW/台</t>
    <rPh sb="3" eb="4">
      <t>ダイ</t>
    </rPh>
    <phoneticPr fontId="5"/>
  </si>
  <si>
    <t>○</t>
  </si>
  <si>
    <t>％</t>
    <phoneticPr fontId="5"/>
  </si>
  <si>
    <t>定格燃料消費量(A)</t>
    <rPh sb="0" eb="2">
      <t>テイカク</t>
    </rPh>
    <phoneticPr fontId="5"/>
  </si>
  <si>
    <t>メーカー
・型番</t>
    <rPh sb="6" eb="8">
      <t>カタバン</t>
    </rPh>
    <phoneticPr fontId="5"/>
  </si>
  <si>
    <t>空冷式冷房能力</t>
    <rPh sb="0" eb="3">
      <t>クウレイシキ</t>
    </rPh>
    <rPh sb="3" eb="5">
      <t>レイボウ</t>
    </rPh>
    <rPh sb="5" eb="7">
      <t>ノウリョク</t>
    </rPh>
    <phoneticPr fontId="5"/>
  </si>
  <si>
    <t>kcal/h</t>
    <phoneticPr fontId="5"/>
  </si>
  <si>
    <t> 1.6/1.8</t>
  </si>
  <si>
    <t> 1,400/1,600</t>
  </si>
  <si>
    <t> 0.7</t>
  </si>
  <si>
    <t> 2.0/2.2</t>
  </si>
  <si>
    <t> 1,800/2,000</t>
  </si>
  <si>
    <t> 0.8</t>
  </si>
  <si>
    <t> 2.5/2.8</t>
  </si>
  <si>
    <t> 2,240/2,500</t>
  </si>
  <si>
    <t> 1</t>
  </si>
  <si>
    <t> 3.2/3.6</t>
  </si>
  <si>
    <t> 2,800/3,150</t>
  </si>
  <si>
    <t> 1.3</t>
  </si>
  <si>
    <t> 4.0/4.5</t>
  </si>
  <si>
    <t> 3,550/4,000</t>
  </si>
  <si>
    <t> 1.8</t>
  </si>
  <si>
    <t> 4.5/5.0</t>
  </si>
  <si>
    <t> 4,000/4,500</t>
  </si>
  <si>
    <t> 2</t>
  </si>
  <si>
    <t> 5.0/5.6</t>
  </si>
  <si>
    <t> 4,500/5,000</t>
  </si>
  <si>
    <t> 2.3</t>
  </si>
  <si>
    <t> 5.6/6.3</t>
  </si>
  <si>
    <t> 5,000/5,600</t>
  </si>
  <si>
    <t> 2.5</t>
  </si>
  <si>
    <t> 6.3/7.1</t>
  </si>
  <si>
    <t> 5,600/6,300</t>
  </si>
  <si>
    <t> 2.8</t>
  </si>
  <si>
    <t> 7.1/8.0</t>
  </si>
  <si>
    <t> 6,300/7,100</t>
  </si>
  <si>
    <t> 3</t>
  </si>
  <si>
    <t> 8.0/9.0</t>
  </si>
  <si>
    <t> 7,100/8,000</t>
  </si>
  <si>
    <t> 3.3</t>
  </si>
  <si>
    <t> 10/11.2</t>
  </si>
  <si>
    <t> 9,000/10,000</t>
  </si>
  <si>
    <t> 4</t>
  </si>
  <si>
    <t> 12.5/14.0</t>
  </si>
  <si>
    <t> 11,200/12,500</t>
  </si>
  <si>
    <t> 5</t>
  </si>
  <si>
    <t> 14.0/16.0</t>
  </si>
  <si>
    <t> 12,500/14,000</t>
  </si>
  <si>
    <t> 6</t>
  </si>
  <si>
    <t> 18.0/20.0</t>
  </si>
  <si>
    <t> 16,000/18,000</t>
  </si>
  <si>
    <t> 7.5</t>
  </si>
  <si>
    <t> 20.0/22.4</t>
  </si>
  <si>
    <t> 18,000/20,000</t>
  </si>
  <si>
    <t> 8</t>
  </si>
  <si>
    <t> 25.0/28.0</t>
  </si>
  <si>
    <t> 22,400/25,000</t>
  </si>
  <si>
    <t> 10</t>
  </si>
  <si>
    <t> 31.5/35.5</t>
  </si>
  <si>
    <t> 28,000/31,500</t>
  </si>
  <si>
    <t> 13</t>
  </si>
  <si>
    <t> 35.5/40.0</t>
  </si>
  <si>
    <t> 31,500/35,500</t>
  </si>
  <si>
    <t> 15</t>
  </si>
  <si>
    <t> 40.0/45.0</t>
  </si>
  <si>
    <t> 35,500/40,000</t>
  </si>
  <si>
    <t> 16</t>
  </si>
  <si>
    <t> 50.0/56.0</t>
  </si>
  <si>
    <t> 45,000/50,000</t>
  </si>
  <si>
    <t> 20</t>
  </si>
  <si>
    <t> 56.0/63.0</t>
  </si>
  <si>
    <t> 50,000/56,000</t>
  </si>
  <si>
    <t> 25</t>
  </si>
  <si>
    <t> 71.0/80.0</t>
  </si>
  <si>
    <t> 63,000/71,000</t>
  </si>
  <si>
    <t> 30</t>
  </si>
  <si>
    <t> 100/112</t>
  </si>
  <si>
    <t> 90,000/100,000</t>
  </si>
  <si>
    <t> 40</t>
  </si>
  <si>
    <t> 125/140</t>
  </si>
  <si>
    <t> 112,000/125,000</t>
  </si>
  <si>
    <t> 50</t>
  </si>
  <si>
    <t> 140/160</t>
  </si>
  <si>
    <t> 125,000/140,000</t>
  </si>
  <si>
    <t> 60</t>
  </si>
  <si>
    <t> 200/224</t>
  </si>
  <si>
    <t> 180,000/200,000</t>
  </si>
  <si>
    <t> 80</t>
  </si>
  <si>
    <t> 250/280</t>
  </si>
  <si>
    <t> 224,000/250,000</t>
  </si>
  <si>
    <t> 100</t>
  </si>
  <si>
    <t> 280/315</t>
  </si>
  <si>
    <t> 250,000/280,000</t>
  </si>
  <si>
    <t> 120</t>
  </si>
  <si>
    <t>水冷式冷暖房能力</t>
    <rPh sb="0" eb="3">
      <t>スイレイシキ</t>
    </rPh>
    <rPh sb="3" eb="6">
      <t>レイダンボウ</t>
    </rPh>
    <rPh sb="6" eb="8">
      <t>ノウリョク</t>
    </rPh>
    <phoneticPr fontId="5"/>
  </si>
  <si>
    <t>1.8/2.0</t>
  </si>
  <si>
    <t> 1,600/1,800</t>
  </si>
  <si>
    <t> 0.6</t>
  </si>
  <si>
    <t> 0.9</t>
  </si>
  <si>
    <t> 9.0/10.0</t>
  </si>
  <si>
    <t> 8,000/9,000</t>
  </si>
  <si>
    <t> 11.2/12.5</t>
  </si>
  <si>
    <t> 10,000/11,200</t>
  </si>
  <si>
    <t> 22.4/25.0</t>
  </si>
  <si>
    <t> 20,000/22,400</t>
  </si>
  <si>
    <t> 28.0/31.5</t>
  </si>
  <si>
    <t> 25,000/28,000</t>
  </si>
  <si>
    <t> 45.0/50.0</t>
  </si>
  <si>
    <t> 40,000/45,000</t>
  </si>
  <si>
    <t> 90.0/100</t>
  </si>
  <si>
    <t> 80,000/90,000</t>
  </si>
  <si>
    <t> 112/125</t>
  </si>
  <si>
    <t> 100,000/112,000</t>
  </si>
  <si>
    <t> 180/200</t>
  </si>
  <si>
    <t> 160,000/180,000</t>
  </si>
  <si>
    <t> 224/250</t>
  </si>
  <si>
    <t> 200,000/224,000</t>
  </si>
  <si>
    <t> 355/400</t>
  </si>
  <si>
    <t> 315,000/355,000</t>
  </si>
  <si>
    <t>パッケージエアコン</t>
    <phoneticPr fontId="5"/>
  </si>
  <si>
    <t>kW表示</t>
    <rPh sb="2" eb="4">
      <t>ヒョウジ</t>
    </rPh>
    <phoneticPr fontId="5"/>
  </si>
  <si>
    <t>kcal/h表示</t>
    <phoneticPr fontId="5"/>
  </si>
  <si>
    <t>馬力表示</t>
    <rPh sb="0" eb="2">
      <t>バリキ</t>
    </rPh>
    <phoneticPr fontId="5"/>
  </si>
  <si>
    <t>kW表示</t>
    <phoneticPr fontId="5"/>
  </si>
  <si>
    <t>年間使用
日数(d)</t>
    <rPh sb="0" eb="2">
      <t>ネンカン</t>
    </rPh>
    <rPh sb="2" eb="4">
      <t>シヨウ</t>
    </rPh>
    <rPh sb="5" eb="7">
      <t>ニッスウ</t>
    </rPh>
    <phoneticPr fontId="5"/>
  </si>
  <si>
    <t>年間消費
電力量(E)</t>
    <rPh sb="0" eb="2">
      <t>ネンカン</t>
    </rPh>
    <rPh sb="2" eb="4">
      <t>ショウヒ</t>
    </rPh>
    <rPh sb="5" eb="7">
      <t>デンリョク</t>
    </rPh>
    <rPh sb="7" eb="8">
      <t>リョウ</t>
    </rPh>
    <phoneticPr fontId="5"/>
  </si>
  <si>
    <t>年間使用
日数</t>
    <rPh sb="0" eb="2">
      <t>ネンカン</t>
    </rPh>
    <rPh sb="2" eb="4">
      <t>シヨウ</t>
    </rPh>
    <rPh sb="5" eb="7">
      <t>ニッスウ</t>
    </rPh>
    <phoneticPr fontId="5"/>
  </si>
  <si>
    <t>年間消費
電力量(E')</t>
    <rPh sb="0" eb="2">
      <t>ネンカン</t>
    </rPh>
    <rPh sb="2" eb="4">
      <t>ショウヒ</t>
    </rPh>
    <rPh sb="5" eb="7">
      <t>デンリョク</t>
    </rPh>
    <rPh sb="7" eb="8">
      <t>リョウ</t>
    </rPh>
    <phoneticPr fontId="5"/>
  </si>
  <si>
    <t>●仕様書（例）</t>
    <rPh sb="1" eb="4">
      <t>シヨウショ</t>
    </rPh>
    <rPh sb="5" eb="6">
      <t>レイ</t>
    </rPh>
    <phoneticPr fontId="5"/>
  </si>
  <si>
    <t>特性表</t>
    <rPh sb="0" eb="2">
      <t>トクセイ</t>
    </rPh>
    <rPh sb="2" eb="3">
      <t>ヒョウ</t>
    </rPh>
    <phoneticPr fontId="5"/>
  </si>
  <si>
    <t>入力電流</t>
    <phoneticPr fontId="5"/>
  </si>
  <si>
    <t>定格消費電力</t>
    <phoneticPr fontId="5"/>
  </si>
  <si>
    <t>100V</t>
    <phoneticPr fontId="5"/>
  </si>
  <si>
    <t>200V</t>
    <phoneticPr fontId="5"/>
  </si>
  <si>
    <t>242V</t>
    <phoneticPr fontId="5"/>
  </si>
  <si>
    <t>　</t>
  </si>
  <si>
    <t>能力単位</t>
    <rPh sb="0" eb="2">
      <t>ノウリョク</t>
    </rPh>
    <rPh sb="2" eb="4">
      <t>タンイ</t>
    </rPh>
    <phoneticPr fontId="5"/>
  </si>
  <si>
    <t>定格加熱能力/相当蒸発量</t>
    <rPh sb="0" eb="2">
      <t>テイカク</t>
    </rPh>
    <rPh sb="2" eb="4">
      <t>カネツ</t>
    </rPh>
    <rPh sb="4" eb="6">
      <t>ノウリョク</t>
    </rPh>
    <rPh sb="7" eb="9">
      <t>ソウトウ</t>
    </rPh>
    <rPh sb="9" eb="11">
      <t>ジョウハツ</t>
    </rPh>
    <rPh sb="11" eb="12">
      <t>リョウ</t>
    </rPh>
    <phoneticPr fontId="5"/>
  </si>
  <si>
    <t>t/h</t>
    <phoneticPr fontId="5"/>
  </si>
  <si>
    <t>定格電圧</t>
    <rPh sb="0" eb="2">
      <t>テイカク</t>
    </rPh>
    <phoneticPr fontId="5"/>
  </si>
  <si>
    <t>MJ</t>
  </si>
  <si>
    <t>機種名</t>
    <rPh sb="0" eb="3">
      <t>キシュメイ</t>
    </rPh>
    <phoneticPr fontId="5"/>
  </si>
  <si>
    <t>電源</t>
    <rPh sb="0" eb="2">
      <t>デンゲン</t>
    </rPh>
    <phoneticPr fontId="5"/>
  </si>
  <si>
    <t>定格冷房能力</t>
    <rPh sb="0" eb="2">
      <t>テイカク</t>
    </rPh>
    <rPh sb="2" eb="4">
      <t>レイボウ</t>
    </rPh>
    <rPh sb="4" eb="6">
      <t>ノウリョク</t>
    </rPh>
    <phoneticPr fontId="5"/>
  </si>
  <si>
    <t>定格冷房消費電力</t>
    <rPh sb="0" eb="2">
      <t>テイカク</t>
    </rPh>
    <rPh sb="2" eb="4">
      <t>レイボウ</t>
    </rPh>
    <rPh sb="4" eb="6">
      <t>ショウヒ</t>
    </rPh>
    <rPh sb="6" eb="8">
      <t>デンリョク</t>
    </rPh>
    <phoneticPr fontId="5"/>
  </si>
  <si>
    <t>定格暖房能力</t>
    <rPh sb="0" eb="2">
      <t>テイカク</t>
    </rPh>
    <rPh sb="2" eb="4">
      <t>ダンボウ</t>
    </rPh>
    <rPh sb="4" eb="6">
      <t>ノウリョク</t>
    </rPh>
    <phoneticPr fontId="5"/>
  </si>
  <si>
    <t>定格暖房消費電力</t>
    <rPh sb="0" eb="2">
      <t>テイカク</t>
    </rPh>
    <rPh sb="2" eb="4">
      <t>ダンボウ</t>
    </rPh>
    <rPh sb="4" eb="6">
      <t>ショウヒ</t>
    </rPh>
    <rPh sb="6" eb="8">
      <t>デンリョク</t>
    </rPh>
    <phoneticPr fontId="5"/>
  </si>
  <si>
    <t>最大暖房低温能力</t>
    <rPh sb="0" eb="2">
      <t>サイダイ</t>
    </rPh>
    <rPh sb="2" eb="4">
      <t>ダンボウ</t>
    </rPh>
    <rPh sb="4" eb="6">
      <t>テイオン</t>
    </rPh>
    <rPh sb="6" eb="8">
      <t>ノウリョク</t>
    </rPh>
    <phoneticPr fontId="5"/>
  </si>
  <si>
    <t>最大暖房低温消費電力</t>
    <rPh sb="0" eb="2">
      <t>サイダイ</t>
    </rPh>
    <rPh sb="2" eb="4">
      <t>ダンボウ</t>
    </rPh>
    <rPh sb="4" eb="6">
      <t>テイオン</t>
    </rPh>
    <rPh sb="6" eb="8">
      <t>ショウヒ</t>
    </rPh>
    <rPh sb="8" eb="10">
      <t>デンリョク</t>
    </rPh>
    <phoneticPr fontId="5"/>
  </si>
  <si>
    <t>三相　200V　50/60Hz</t>
    <rPh sb="0" eb="2">
      <t>サンソウ</t>
    </rPh>
    <phoneticPr fontId="5"/>
  </si>
  <si>
    <t>kW</t>
    <phoneticPr fontId="5"/>
  </si>
  <si>
    <t>%</t>
    <phoneticPr fontId="5"/>
  </si>
  <si>
    <t>出力（kW）</t>
    <rPh sb="0" eb="2">
      <t>シュツリョク</t>
    </rPh>
    <phoneticPr fontId="5"/>
  </si>
  <si>
    <t>AAA280BB</t>
    <phoneticPr fontId="5"/>
  </si>
  <si>
    <t>CCC280DD</t>
    <phoneticPr fontId="5"/>
  </si>
  <si>
    <t>GGGG224H</t>
    <phoneticPr fontId="5"/>
  </si>
  <si>
    <t>EEEE224F</t>
    <phoneticPr fontId="5"/>
  </si>
  <si>
    <t>4極</t>
    <phoneticPr fontId="5"/>
  </si>
  <si>
    <t>インバーター</t>
    <phoneticPr fontId="5"/>
  </si>
  <si>
    <t>IE2</t>
  </si>
  <si>
    <t>数量の増減</t>
    <rPh sb="0" eb="2">
      <t>スウリョウ</t>
    </rPh>
    <rPh sb="3" eb="5">
      <t>ゾウゲン</t>
    </rPh>
    <phoneticPr fontId="5"/>
  </si>
  <si>
    <t>定格能力の増減</t>
    <rPh sb="0" eb="2">
      <t>テイカク</t>
    </rPh>
    <rPh sb="2" eb="4">
      <t>ノウリョク</t>
    </rPh>
    <rPh sb="5" eb="7">
      <t>ゾウゲン</t>
    </rPh>
    <phoneticPr fontId="5"/>
  </si>
  <si>
    <t>定格出力の増減</t>
    <rPh sb="0" eb="2">
      <t>テイカク</t>
    </rPh>
    <rPh sb="2" eb="4">
      <t>シュツリョク</t>
    </rPh>
    <rPh sb="5" eb="7">
      <t>ゾウゲン</t>
    </rPh>
    <phoneticPr fontId="5"/>
  </si>
  <si>
    <r>
      <t>冷房時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1)</t>
    </r>
    <rPh sb="0" eb="2">
      <t>レイボウ</t>
    </rPh>
    <rPh sb="2" eb="3">
      <t>ジ</t>
    </rPh>
    <phoneticPr fontId="5"/>
  </si>
  <si>
    <t>項目</t>
    <rPh sb="0" eb="2">
      <t>コウモク</t>
    </rPh>
    <phoneticPr fontId="5"/>
  </si>
  <si>
    <t>特記事項</t>
    <rPh sb="0" eb="2">
      <t>トッキ</t>
    </rPh>
    <rPh sb="2" eb="4">
      <t>ジコウ</t>
    </rPh>
    <phoneticPr fontId="5"/>
  </si>
  <si>
    <t>定格能力合計（kW）</t>
    <phoneticPr fontId="5"/>
  </si>
  <si>
    <t>選択ガス</t>
    <rPh sb="0" eb="2">
      <t>センタク</t>
    </rPh>
    <phoneticPr fontId="5"/>
  </si>
  <si>
    <t>項目</t>
    <rPh sb="0" eb="2">
      <t>コウモク</t>
    </rPh>
    <phoneticPr fontId="5"/>
  </si>
  <si>
    <t>能力の増減</t>
    <rPh sb="0" eb="2">
      <t>ノウリョク</t>
    </rPh>
    <rPh sb="3" eb="5">
      <t>ゾウゲン</t>
    </rPh>
    <phoneticPr fontId="5"/>
  </si>
  <si>
    <t>容量の増減</t>
    <rPh sb="0" eb="2">
      <t>ヨウリョウ</t>
    </rPh>
    <rPh sb="3" eb="5">
      <t>ゾウゲン</t>
    </rPh>
    <phoneticPr fontId="5"/>
  </si>
  <si>
    <t>※選択</t>
  </si>
  <si>
    <t>※選択</t>
    <rPh sb="1" eb="3">
      <t>センタク</t>
    </rPh>
    <phoneticPr fontId="5"/>
  </si>
  <si>
    <t>単価</t>
    <rPh sb="0" eb="2">
      <t>タンカ</t>
    </rPh>
    <phoneticPr fontId="5"/>
  </si>
  <si>
    <t>エネルギーの種類</t>
    <rPh sb="6" eb="8">
      <t>シュルイ</t>
    </rPh>
    <phoneticPr fontId="5"/>
  </si>
  <si>
    <t>KKT08328</t>
  </si>
  <si>
    <t>KKT08328</t>
    <phoneticPr fontId="5"/>
  </si>
  <si>
    <t>LED23630</t>
  </si>
  <si>
    <t>LED23630</t>
    <phoneticPr fontId="5"/>
  </si>
  <si>
    <t>光熱費</t>
    <rPh sb="0" eb="3">
      <t>コウネツヒ</t>
    </rPh>
    <phoneticPr fontId="5"/>
  </si>
  <si>
    <t>円/年</t>
  </si>
  <si>
    <t>人感センサ等</t>
    <rPh sb="0" eb="2">
      <t>ジンカン</t>
    </rPh>
    <rPh sb="5" eb="6">
      <t>ナド</t>
    </rPh>
    <phoneticPr fontId="5"/>
  </si>
  <si>
    <t>0.266A</t>
    <phoneticPr fontId="5"/>
  </si>
  <si>
    <t>0.134A</t>
    <phoneticPr fontId="5"/>
  </si>
  <si>
    <t>0.112A</t>
    <phoneticPr fontId="5"/>
  </si>
  <si>
    <t>26.3W</t>
  </si>
  <si>
    <t>26.3W</t>
    <phoneticPr fontId="5"/>
  </si>
  <si>
    <t>品名</t>
    <rPh sb="0" eb="2">
      <t>ヒンメイ</t>
    </rPh>
    <phoneticPr fontId="5"/>
  </si>
  <si>
    <t>LED23630　（LED40形ベースライト）</t>
    <phoneticPr fontId="5"/>
  </si>
  <si>
    <r>
      <t>暖房時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2)</t>
    </r>
    <rPh sb="0" eb="2">
      <t>ダンボウ</t>
    </rPh>
    <rPh sb="2" eb="3">
      <t>トキ</t>
    </rPh>
    <phoneticPr fontId="5"/>
  </si>
  <si>
    <t>EEEE224F</t>
  </si>
  <si>
    <t>GGG224H</t>
    <phoneticPr fontId="5"/>
  </si>
  <si>
    <t>三相（単層）　200V　50/60Hz</t>
    <rPh sb="0" eb="2">
      <t>サンソウ</t>
    </rPh>
    <rPh sb="3" eb="5">
      <t>タンソウ</t>
    </rPh>
    <phoneticPr fontId="5"/>
  </si>
  <si>
    <t>定格冷房</t>
    <rPh sb="0" eb="2">
      <t>テイカク</t>
    </rPh>
    <rPh sb="2" eb="4">
      <t>レイボウ</t>
    </rPh>
    <phoneticPr fontId="5"/>
  </si>
  <si>
    <t>能力</t>
    <rPh sb="0" eb="2">
      <t>ノウリョク</t>
    </rPh>
    <phoneticPr fontId="5"/>
  </si>
  <si>
    <t>消費電力</t>
    <rPh sb="0" eb="2">
      <t>ショウヒ</t>
    </rPh>
    <rPh sb="2" eb="4">
      <t>デンリョク</t>
    </rPh>
    <phoneticPr fontId="5"/>
  </si>
  <si>
    <t>燃料消費量</t>
    <rPh sb="0" eb="2">
      <t>ネンリョウ</t>
    </rPh>
    <rPh sb="2" eb="5">
      <t>ショウヒリョウ</t>
    </rPh>
    <phoneticPr fontId="5"/>
  </si>
  <si>
    <t>中間冷房</t>
    <rPh sb="0" eb="2">
      <t>チュウカン</t>
    </rPh>
    <rPh sb="2" eb="4">
      <t>レイボウ</t>
    </rPh>
    <phoneticPr fontId="5"/>
  </si>
  <si>
    <t>定格暖房</t>
    <rPh sb="0" eb="2">
      <t>テイカク</t>
    </rPh>
    <rPh sb="2" eb="4">
      <t>ダンボウ</t>
    </rPh>
    <phoneticPr fontId="5"/>
  </si>
  <si>
    <t>中間暖房</t>
    <rPh sb="0" eb="2">
      <t>チュウカン</t>
    </rPh>
    <rPh sb="2" eb="4">
      <t>ダンボウ</t>
    </rPh>
    <phoneticPr fontId="5"/>
  </si>
  <si>
    <t>最大暖房低温</t>
    <rPh sb="0" eb="2">
      <t>サイダイ</t>
    </rPh>
    <rPh sb="2" eb="4">
      <t>ダンボウ</t>
    </rPh>
    <rPh sb="4" eb="6">
      <t>テイオン</t>
    </rPh>
    <phoneticPr fontId="5"/>
  </si>
  <si>
    <t>kW</t>
  </si>
  <si>
    <t>OLF-754FE</t>
  </si>
  <si>
    <t>OLF-754FE</t>
    <phoneticPr fontId="5"/>
  </si>
  <si>
    <t>kVA</t>
  </si>
  <si>
    <t>W</t>
  </si>
  <si>
    <t>%</t>
  </si>
  <si>
    <t>3相：6.6kV→210V</t>
    <phoneticPr fontId="5"/>
  </si>
  <si>
    <t>％</t>
  </si>
  <si>
    <t>AAA280BB</t>
  </si>
  <si>
    <t>CCC280DD</t>
  </si>
  <si>
    <t>GGGG224H</t>
  </si>
  <si>
    <t>高効率</t>
  </si>
  <si>
    <t>プレミアム効率</t>
  </si>
  <si>
    <t>PLM-75DBC</t>
  </si>
  <si>
    <t>PLM-75DBC</t>
    <phoneticPr fontId="5"/>
  </si>
  <si>
    <t>KK-1L</t>
  </si>
  <si>
    <t>KK-1L</t>
    <phoneticPr fontId="5"/>
  </si>
  <si>
    <t>ME-1R</t>
  </si>
  <si>
    <t>ME-1R</t>
    <phoneticPr fontId="5"/>
  </si>
  <si>
    <t>特記事項</t>
    <rPh sb="0" eb="2">
      <t>トッキ</t>
    </rPh>
    <rPh sb="2" eb="4">
      <t>ジコウ</t>
    </rPh>
    <phoneticPr fontId="5"/>
  </si>
  <si>
    <t>EQ-235YWK</t>
    <phoneticPr fontId="5"/>
  </si>
  <si>
    <t>FR-085LMK</t>
  </si>
  <si>
    <t>FR-085LMK</t>
    <phoneticPr fontId="5"/>
  </si>
  <si>
    <t>kWh</t>
  </si>
  <si>
    <t>ー</t>
  </si>
  <si>
    <t>導入年度</t>
    <rPh sb="0" eb="2">
      <t>ドウニュウ</t>
    </rPh>
    <rPh sb="2" eb="4">
      <t>ネンド</t>
    </rPh>
    <phoneticPr fontId="5"/>
  </si>
  <si>
    <t>老朽化消費倍率(p) (5%/年）</t>
    <rPh sb="0" eb="3">
      <t>ロウキュウカ</t>
    </rPh>
    <rPh sb="3" eb="5">
      <t>ショウヒ</t>
    </rPh>
    <rPh sb="5" eb="6">
      <t>バイ</t>
    </rPh>
    <rPh sb="6" eb="7">
      <t>リツ</t>
    </rPh>
    <rPh sb="15" eb="16">
      <t>ネン</t>
    </rPh>
    <phoneticPr fontId="5"/>
  </si>
  <si>
    <t>老朽化消費電力倍率(p) (5%/年）</t>
    <rPh sb="0" eb="3">
      <t>ロウキュウカ</t>
    </rPh>
    <rPh sb="3" eb="5">
      <t>ショウヒ</t>
    </rPh>
    <rPh sb="5" eb="7">
      <t>デンリョク</t>
    </rPh>
    <rPh sb="7" eb="8">
      <t>バイ</t>
    </rPh>
    <rPh sb="8" eb="9">
      <t>リツ</t>
    </rPh>
    <rPh sb="17" eb="18">
      <t>ネン</t>
    </rPh>
    <phoneticPr fontId="5"/>
  </si>
  <si>
    <t>設備種類</t>
    <rPh sb="0" eb="2">
      <t>セツビ</t>
    </rPh>
    <rPh sb="2" eb="4">
      <t>シュルイ</t>
    </rPh>
    <phoneticPr fontId="5"/>
  </si>
  <si>
    <t>給湯器（HP）</t>
  </si>
  <si>
    <t>HP設備老朽化消費倍率(p) (5%/年）</t>
    <rPh sb="2" eb="4">
      <t>セツビ</t>
    </rPh>
    <phoneticPr fontId="5"/>
  </si>
  <si>
    <t>加熱式設備経年劣化率(q)</t>
    <rPh sb="0" eb="2">
      <t>カネツ</t>
    </rPh>
    <rPh sb="2" eb="3">
      <t>シキ</t>
    </rPh>
    <rPh sb="3" eb="5">
      <t>セツビ</t>
    </rPh>
    <rPh sb="5" eb="7">
      <t>ケイネン</t>
    </rPh>
    <rPh sb="7" eb="9">
      <t>レッカ</t>
    </rPh>
    <rPh sb="9" eb="10">
      <t>リツ</t>
    </rPh>
    <phoneticPr fontId="5"/>
  </si>
  <si>
    <t>ヒートポンプユニット</t>
    <phoneticPr fontId="5"/>
  </si>
  <si>
    <t>EQ-235YWK（エコキュート）</t>
    <phoneticPr fontId="5"/>
  </si>
  <si>
    <t>中間期標準加熱能力/消費電力</t>
    <rPh sb="0" eb="3">
      <t>チュウカンキ</t>
    </rPh>
    <rPh sb="3" eb="5">
      <t>ヒョウジュン</t>
    </rPh>
    <rPh sb="5" eb="7">
      <t>カネツ</t>
    </rPh>
    <rPh sb="7" eb="9">
      <t>ノウリョク</t>
    </rPh>
    <rPh sb="10" eb="12">
      <t>ショウヒ</t>
    </rPh>
    <rPh sb="12" eb="14">
      <t>デンリョク</t>
    </rPh>
    <phoneticPr fontId="5"/>
  </si>
  <si>
    <t>中間期標準運転電流</t>
    <rPh sb="0" eb="3">
      <t>チュウカンキ</t>
    </rPh>
    <rPh sb="3" eb="5">
      <t>ヒョウジュン</t>
    </rPh>
    <rPh sb="5" eb="7">
      <t>ウンテン</t>
    </rPh>
    <rPh sb="7" eb="9">
      <t>デンリュウ</t>
    </rPh>
    <phoneticPr fontId="5"/>
  </si>
  <si>
    <t>中間期標準最大加熱能力</t>
    <rPh sb="0" eb="3">
      <t>チュウカンキ</t>
    </rPh>
    <rPh sb="3" eb="5">
      <t>ヒョウジュン</t>
    </rPh>
    <rPh sb="5" eb="7">
      <t>サイダイ</t>
    </rPh>
    <rPh sb="7" eb="9">
      <t>カネツ</t>
    </rPh>
    <rPh sb="9" eb="11">
      <t>ノウリョク</t>
    </rPh>
    <phoneticPr fontId="5"/>
  </si>
  <si>
    <t>冬季高温最大加熱能力</t>
    <rPh sb="0" eb="2">
      <t>トウキ</t>
    </rPh>
    <rPh sb="2" eb="4">
      <t>コウオン</t>
    </rPh>
    <rPh sb="4" eb="6">
      <t>サイダイ</t>
    </rPh>
    <rPh sb="6" eb="8">
      <t>カネツ</t>
    </rPh>
    <rPh sb="8" eb="10">
      <t>ノウリョク</t>
    </rPh>
    <phoneticPr fontId="5"/>
  </si>
  <si>
    <t>ー</t>
    <phoneticPr fontId="5"/>
  </si>
  <si>
    <t>7.2kW/1.64kW</t>
    <phoneticPr fontId="5"/>
  </si>
  <si>
    <t>9.2A</t>
    <phoneticPr fontId="5"/>
  </si>
  <si>
    <t>7.2kW/2.50kW</t>
    <phoneticPr fontId="5"/>
  </si>
  <si>
    <t>7.2÷1.64＝4.39…</t>
    <phoneticPr fontId="5"/>
  </si>
  <si>
    <t>→439％</t>
    <phoneticPr fontId="5"/>
  </si>
  <si>
    <t>HP老朽化消費倍率(p) (5%/年）</t>
    <rPh sb="2" eb="4">
      <t>ロウキュウ</t>
    </rPh>
    <rPh sb="7" eb="9">
      <t>バイリツ</t>
    </rPh>
    <phoneticPr fontId="5"/>
  </si>
  <si>
    <t>液化石油ガス（LPG）</t>
  </si>
  <si>
    <t>LP</t>
  </si>
  <si>
    <t>都市ガス</t>
    <rPh sb="0" eb="2">
      <t>トシ</t>
    </rPh>
    <phoneticPr fontId="5"/>
  </si>
  <si>
    <t>係数</t>
    <rPh sb="0" eb="2">
      <t>ケイスウ</t>
    </rPh>
    <phoneticPr fontId="5"/>
  </si>
  <si>
    <t>単位</t>
    <rPh sb="0" eb="2">
      <t>タンイ</t>
    </rPh>
    <phoneticPr fontId="5"/>
  </si>
  <si>
    <t>項目</t>
    <rPh sb="0" eb="2">
      <t>コウモク</t>
    </rPh>
    <phoneticPr fontId="5"/>
  </si>
  <si>
    <t>液化石油ガス（LPG）</t>
    <rPh sb="0" eb="2">
      <t>エキカ</t>
    </rPh>
    <rPh sb="2" eb="4">
      <t>セキユ</t>
    </rPh>
    <phoneticPr fontId="5"/>
  </si>
  <si>
    <t>コンプレッサーの更新</t>
    <phoneticPr fontId="5"/>
  </si>
  <si>
    <t>照明の更新</t>
    <rPh sb="0" eb="2">
      <t>ショウメイ</t>
    </rPh>
    <phoneticPr fontId="5"/>
  </si>
  <si>
    <t>空調（電気）の更新</t>
    <phoneticPr fontId="5"/>
  </si>
  <si>
    <t>空調（GHP）の更新</t>
    <phoneticPr fontId="5"/>
  </si>
  <si>
    <t>ボイラー・給湯器の更新</t>
    <rPh sb="5" eb="8">
      <t>キュウトウキ</t>
    </rPh>
    <phoneticPr fontId="5"/>
  </si>
  <si>
    <t>照明の更新</t>
    <rPh sb="0" eb="2">
      <t>ショウメイ</t>
    </rPh>
    <rPh sb="3" eb="5">
      <t>コウシン</t>
    </rPh>
    <phoneticPr fontId="5"/>
  </si>
  <si>
    <t>空調（電気）の更新</t>
    <rPh sb="7" eb="9">
      <t>コウシン</t>
    </rPh>
    <phoneticPr fontId="5"/>
  </si>
  <si>
    <t>空調（GHP）の更新</t>
    <rPh sb="8" eb="10">
      <t>コウシン</t>
    </rPh>
    <phoneticPr fontId="5"/>
  </si>
  <si>
    <t>ボイラー・給湯器の更新</t>
    <rPh sb="9" eb="11">
      <t>コウシン</t>
    </rPh>
    <phoneticPr fontId="5"/>
  </si>
  <si>
    <t>機種51</t>
    <rPh sb="0" eb="2">
      <t>キシュ</t>
    </rPh>
    <phoneticPr fontId="5"/>
  </si>
  <si>
    <t>機種52</t>
    <rPh sb="0" eb="2">
      <t>キシュ</t>
    </rPh>
    <phoneticPr fontId="5"/>
  </si>
  <si>
    <t>機種53</t>
    <rPh sb="0" eb="2">
      <t>キシュ</t>
    </rPh>
    <phoneticPr fontId="5"/>
  </si>
  <si>
    <t>機種54</t>
    <rPh sb="0" eb="2">
      <t>キシュ</t>
    </rPh>
    <phoneticPr fontId="5"/>
  </si>
  <si>
    <t>機種55</t>
    <rPh sb="0" eb="2">
      <t>キシュ</t>
    </rPh>
    <phoneticPr fontId="5"/>
  </si>
  <si>
    <t>機種56</t>
    <rPh sb="0" eb="2">
      <t>キシュ</t>
    </rPh>
    <phoneticPr fontId="5"/>
  </si>
  <si>
    <t>機種57</t>
    <rPh sb="0" eb="2">
      <t>キシュ</t>
    </rPh>
    <phoneticPr fontId="5"/>
  </si>
  <si>
    <t>機種58</t>
    <rPh sb="0" eb="2">
      <t>キシュ</t>
    </rPh>
    <phoneticPr fontId="5"/>
  </si>
  <si>
    <t>機種59</t>
    <rPh sb="0" eb="2">
      <t>キシュ</t>
    </rPh>
    <phoneticPr fontId="5"/>
  </si>
  <si>
    <t>機種60</t>
    <rPh sb="0" eb="2">
      <t>キシュ</t>
    </rPh>
    <phoneticPr fontId="5"/>
  </si>
  <si>
    <t>機種61</t>
    <rPh sb="0" eb="2">
      <t>キシュ</t>
    </rPh>
    <phoneticPr fontId="5"/>
  </si>
  <si>
    <t>機種62</t>
    <rPh sb="0" eb="2">
      <t>キシュ</t>
    </rPh>
    <phoneticPr fontId="5"/>
  </si>
  <si>
    <t>機種63</t>
    <rPh sb="0" eb="2">
      <t>キシュ</t>
    </rPh>
    <phoneticPr fontId="5"/>
  </si>
  <si>
    <t>機種64</t>
    <rPh sb="0" eb="2">
      <t>キシュ</t>
    </rPh>
    <phoneticPr fontId="5"/>
  </si>
  <si>
    <t>機種65</t>
    <rPh sb="0" eb="2">
      <t>キシュ</t>
    </rPh>
    <phoneticPr fontId="5"/>
  </si>
  <si>
    <t>機種66</t>
    <rPh sb="0" eb="2">
      <t>キシュ</t>
    </rPh>
    <phoneticPr fontId="5"/>
  </si>
  <si>
    <t>機種67</t>
    <rPh sb="0" eb="2">
      <t>キシュ</t>
    </rPh>
    <phoneticPr fontId="5"/>
  </si>
  <si>
    <t>機種68</t>
    <rPh sb="0" eb="2">
      <t>キシュ</t>
    </rPh>
    <phoneticPr fontId="5"/>
  </si>
  <si>
    <t>機種69</t>
    <rPh sb="0" eb="2">
      <t>キシュ</t>
    </rPh>
    <phoneticPr fontId="5"/>
  </si>
  <si>
    <t>機種70</t>
    <rPh sb="0" eb="2">
      <t>キシュ</t>
    </rPh>
    <phoneticPr fontId="5"/>
  </si>
  <si>
    <t>機種71</t>
    <rPh sb="0" eb="2">
      <t>キシュ</t>
    </rPh>
    <phoneticPr fontId="5"/>
  </si>
  <si>
    <t>機種72</t>
    <rPh sb="0" eb="2">
      <t>キシュ</t>
    </rPh>
    <phoneticPr fontId="5"/>
  </si>
  <si>
    <t>機種73</t>
    <rPh sb="0" eb="2">
      <t>キシュ</t>
    </rPh>
    <phoneticPr fontId="5"/>
  </si>
  <si>
    <t>機種74</t>
    <rPh sb="0" eb="2">
      <t>キシュ</t>
    </rPh>
    <phoneticPr fontId="5"/>
  </si>
  <si>
    <t>機種75</t>
    <rPh sb="0" eb="2">
      <t>キシュ</t>
    </rPh>
    <phoneticPr fontId="5"/>
  </si>
  <si>
    <t>機種76</t>
    <rPh sb="0" eb="2">
      <t>キシュ</t>
    </rPh>
    <phoneticPr fontId="5"/>
  </si>
  <si>
    <t>機種77</t>
    <rPh sb="0" eb="2">
      <t>キシュ</t>
    </rPh>
    <phoneticPr fontId="5"/>
  </si>
  <si>
    <t>機種78</t>
    <rPh sb="0" eb="2">
      <t>キシュ</t>
    </rPh>
    <phoneticPr fontId="5"/>
  </si>
  <si>
    <t>機種79</t>
    <rPh sb="0" eb="2">
      <t>キシュ</t>
    </rPh>
    <phoneticPr fontId="5"/>
  </si>
  <si>
    <t>機種80</t>
    <rPh sb="0" eb="2">
      <t>キシュ</t>
    </rPh>
    <phoneticPr fontId="5"/>
  </si>
  <si>
    <t>機種81</t>
    <rPh sb="0" eb="2">
      <t>キシュ</t>
    </rPh>
    <phoneticPr fontId="5"/>
  </si>
  <si>
    <t>機種82</t>
    <rPh sb="0" eb="2">
      <t>キシュ</t>
    </rPh>
    <phoneticPr fontId="5"/>
  </si>
  <si>
    <t>機種83</t>
    <rPh sb="0" eb="2">
      <t>キシュ</t>
    </rPh>
    <phoneticPr fontId="5"/>
  </si>
  <si>
    <t>機種84</t>
    <rPh sb="0" eb="2">
      <t>キシュ</t>
    </rPh>
    <phoneticPr fontId="5"/>
  </si>
  <si>
    <t>機種85</t>
    <rPh sb="0" eb="2">
      <t>キシュ</t>
    </rPh>
    <phoneticPr fontId="5"/>
  </si>
  <si>
    <t>機種86</t>
    <rPh sb="0" eb="2">
      <t>キシュ</t>
    </rPh>
    <phoneticPr fontId="5"/>
  </si>
  <si>
    <t>機種87</t>
    <rPh sb="0" eb="2">
      <t>キシュ</t>
    </rPh>
    <phoneticPr fontId="5"/>
  </si>
  <si>
    <t>機種88</t>
    <rPh sb="0" eb="2">
      <t>キシュ</t>
    </rPh>
    <phoneticPr fontId="5"/>
  </si>
  <si>
    <t>機種89</t>
    <rPh sb="0" eb="2">
      <t>キシュ</t>
    </rPh>
    <phoneticPr fontId="5"/>
  </si>
  <si>
    <t>機種90</t>
    <rPh sb="0" eb="2">
      <t>キシュ</t>
    </rPh>
    <phoneticPr fontId="5"/>
  </si>
  <si>
    <t>機種91</t>
    <rPh sb="0" eb="2">
      <t>キシュ</t>
    </rPh>
    <phoneticPr fontId="5"/>
  </si>
  <si>
    <t>機種92</t>
    <rPh sb="0" eb="2">
      <t>キシュ</t>
    </rPh>
    <phoneticPr fontId="5"/>
  </si>
  <si>
    <t>機種93</t>
    <rPh sb="0" eb="2">
      <t>キシュ</t>
    </rPh>
    <phoneticPr fontId="5"/>
  </si>
  <si>
    <t>機種94</t>
    <rPh sb="0" eb="2">
      <t>キシュ</t>
    </rPh>
    <phoneticPr fontId="5"/>
  </si>
  <si>
    <t>機種95</t>
    <rPh sb="0" eb="2">
      <t>キシュ</t>
    </rPh>
    <phoneticPr fontId="5"/>
  </si>
  <si>
    <t>機種96</t>
    <rPh sb="0" eb="2">
      <t>キシュ</t>
    </rPh>
    <phoneticPr fontId="5"/>
  </si>
  <si>
    <t>機種97</t>
    <rPh sb="0" eb="2">
      <t>キシュ</t>
    </rPh>
    <phoneticPr fontId="5"/>
  </si>
  <si>
    <t>機種98</t>
    <rPh sb="0" eb="2">
      <t>キシュ</t>
    </rPh>
    <phoneticPr fontId="5"/>
  </si>
  <si>
    <t>機種99</t>
    <rPh sb="0" eb="2">
      <t>キシュ</t>
    </rPh>
    <phoneticPr fontId="5"/>
  </si>
  <si>
    <t>機種100</t>
    <rPh sb="0" eb="2">
      <t>キシュ</t>
    </rPh>
    <phoneticPr fontId="5"/>
  </si>
  <si>
    <t>機種101</t>
    <rPh sb="0" eb="2">
      <t>キシュ</t>
    </rPh>
    <phoneticPr fontId="5"/>
  </si>
  <si>
    <t>機種102</t>
    <rPh sb="0" eb="2">
      <t>キシュ</t>
    </rPh>
    <phoneticPr fontId="5"/>
  </si>
  <si>
    <t>機種103</t>
    <rPh sb="0" eb="2">
      <t>キシュ</t>
    </rPh>
    <phoneticPr fontId="5"/>
  </si>
  <si>
    <t>機種104</t>
    <rPh sb="0" eb="2">
      <t>キシュ</t>
    </rPh>
    <phoneticPr fontId="5"/>
  </si>
  <si>
    <t>機種105</t>
    <rPh sb="0" eb="2">
      <t>キシュ</t>
    </rPh>
    <phoneticPr fontId="5"/>
  </si>
  <si>
    <t>機種106</t>
    <rPh sb="0" eb="2">
      <t>キシュ</t>
    </rPh>
    <phoneticPr fontId="5"/>
  </si>
  <si>
    <t>機種107</t>
    <rPh sb="0" eb="2">
      <t>キシュ</t>
    </rPh>
    <phoneticPr fontId="5"/>
  </si>
  <si>
    <t>機種108</t>
    <rPh sb="0" eb="2">
      <t>キシュ</t>
    </rPh>
    <phoneticPr fontId="5"/>
  </si>
  <si>
    <t>機種109</t>
    <rPh sb="0" eb="2">
      <t>キシュ</t>
    </rPh>
    <phoneticPr fontId="5"/>
  </si>
  <si>
    <t>機種110</t>
    <rPh sb="0" eb="2">
      <t>キシュ</t>
    </rPh>
    <phoneticPr fontId="5"/>
  </si>
  <si>
    <t>機種111</t>
    <rPh sb="0" eb="2">
      <t>キシュ</t>
    </rPh>
    <phoneticPr fontId="5"/>
  </si>
  <si>
    <t>機種112</t>
    <rPh sb="0" eb="2">
      <t>キシュ</t>
    </rPh>
    <phoneticPr fontId="5"/>
  </si>
  <si>
    <t>機種113</t>
    <rPh sb="0" eb="2">
      <t>キシュ</t>
    </rPh>
    <phoneticPr fontId="5"/>
  </si>
  <si>
    <t>機種114</t>
    <rPh sb="0" eb="2">
      <t>キシュ</t>
    </rPh>
    <phoneticPr fontId="5"/>
  </si>
  <si>
    <t>機種115</t>
    <rPh sb="0" eb="2">
      <t>キシュ</t>
    </rPh>
    <phoneticPr fontId="5"/>
  </si>
  <si>
    <t>機種116</t>
    <rPh sb="0" eb="2">
      <t>キシュ</t>
    </rPh>
    <phoneticPr fontId="5"/>
  </si>
  <si>
    <t>機種117</t>
    <rPh sb="0" eb="2">
      <t>キシュ</t>
    </rPh>
    <phoneticPr fontId="5"/>
  </si>
  <si>
    <t>機種118</t>
    <rPh sb="0" eb="2">
      <t>キシュ</t>
    </rPh>
    <phoneticPr fontId="5"/>
  </si>
  <si>
    <t>機種119</t>
    <rPh sb="0" eb="2">
      <t>キシュ</t>
    </rPh>
    <phoneticPr fontId="5"/>
  </si>
  <si>
    <t>機種120</t>
    <rPh sb="0" eb="2">
      <t>キシュ</t>
    </rPh>
    <phoneticPr fontId="5"/>
  </si>
  <si>
    <t>機種121</t>
    <rPh sb="0" eb="2">
      <t>キシュ</t>
    </rPh>
    <phoneticPr fontId="5"/>
  </si>
  <si>
    <t>機種122</t>
    <rPh sb="0" eb="2">
      <t>キシュ</t>
    </rPh>
    <phoneticPr fontId="5"/>
  </si>
  <si>
    <t>機種123</t>
    <rPh sb="0" eb="2">
      <t>キシュ</t>
    </rPh>
    <phoneticPr fontId="5"/>
  </si>
  <si>
    <t>機種124</t>
    <rPh sb="0" eb="2">
      <t>キシュ</t>
    </rPh>
    <phoneticPr fontId="5"/>
  </si>
  <si>
    <t>機種125</t>
    <rPh sb="0" eb="2">
      <t>キシュ</t>
    </rPh>
    <phoneticPr fontId="5"/>
  </si>
  <si>
    <t>機種126</t>
    <rPh sb="0" eb="2">
      <t>キシュ</t>
    </rPh>
    <phoneticPr fontId="5"/>
  </si>
  <si>
    <t>機種127</t>
    <rPh sb="0" eb="2">
      <t>キシュ</t>
    </rPh>
    <phoneticPr fontId="5"/>
  </si>
  <si>
    <t>機種128</t>
    <rPh sb="0" eb="2">
      <t>キシュ</t>
    </rPh>
    <phoneticPr fontId="5"/>
  </si>
  <si>
    <t>機種129</t>
    <rPh sb="0" eb="2">
      <t>キシュ</t>
    </rPh>
    <phoneticPr fontId="5"/>
  </si>
  <si>
    <t>機種130</t>
    <rPh sb="0" eb="2">
      <t>キシュ</t>
    </rPh>
    <phoneticPr fontId="5"/>
  </si>
  <si>
    <t>機種131</t>
    <rPh sb="0" eb="2">
      <t>キシュ</t>
    </rPh>
    <phoneticPr fontId="5"/>
  </si>
  <si>
    <t>機種132</t>
    <rPh sb="0" eb="2">
      <t>キシュ</t>
    </rPh>
    <phoneticPr fontId="5"/>
  </si>
  <si>
    <t>機種133</t>
    <rPh sb="0" eb="2">
      <t>キシュ</t>
    </rPh>
    <phoneticPr fontId="5"/>
  </si>
  <si>
    <t>機種134</t>
    <rPh sb="0" eb="2">
      <t>キシュ</t>
    </rPh>
    <phoneticPr fontId="5"/>
  </si>
  <si>
    <t>機種135</t>
    <rPh sb="0" eb="2">
      <t>キシュ</t>
    </rPh>
    <phoneticPr fontId="5"/>
  </si>
  <si>
    <t>機種136</t>
    <rPh sb="0" eb="2">
      <t>キシュ</t>
    </rPh>
    <phoneticPr fontId="5"/>
  </si>
  <si>
    <t>機種137</t>
    <rPh sb="0" eb="2">
      <t>キシュ</t>
    </rPh>
    <phoneticPr fontId="5"/>
  </si>
  <si>
    <t>機種138</t>
    <rPh sb="0" eb="2">
      <t>キシュ</t>
    </rPh>
    <phoneticPr fontId="5"/>
  </si>
  <si>
    <t>機種139</t>
    <rPh sb="0" eb="2">
      <t>キシュ</t>
    </rPh>
    <phoneticPr fontId="5"/>
  </si>
  <si>
    <t>機種140</t>
    <rPh sb="0" eb="2">
      <t>キシュ</t>
    </rPh>
    <phoneticPr fontId="5"/>
  </si>
  <si>
    <t>機種141</t>
    <rPh sb="0" eb="2">
      <t>キシュ</t>
    </rPh>
    <phoneticPr fontId="5"/>
  </si>
  <si>
    <t>機種142</t>
    <rPh sb="0" eb="2">
      <t>キシュ</t>
    </rPh>
    <phoneticPr fontId="5"/>
  </si>
  <si>
    <t>機種143</t>
    <rPh sb="0" eb="2">
      <t>キシュ</t>
    </rPh>
    <phoneticPr fontId="5"/>
  </si>
  <si>
    <t>機種144</t>
    <rPh sb="0" eb="2">
      <t>キシュ</t>
    </rPh>
    <phoneticPr fontId="5"/>
  </si>
  <si>
    <t>機種145</t>
    <rPh sb="0" eb="2">
      <t>キシュ</t>
    </rPh>
    <phoneticPr fontId="5"/>
  </si>
  <si>
    <t>機種146</t>
    <rPh sb="0" eb="2">
      <t>キシュ</t>
    </rPh>
    <phoneticPr fontId="5"/>
  </si>
  <si>
    <t>機種147</t>
    <rPh sb="0" eb="2">
      <t>キシュ</t>
    </rPh>
    <phoneticPr fontId="5"/>
  </si>
  <si>
    <t>機種148</t>
    <rPh sb="0" eb="2">
      <t>キシュ</t>
    </rPh>
    <phoneticPr fontId="5"/>
  </si>
  <si>
    <t>機種149</t>
    <rPh sb="0" eb="2">
      <t>キシュ</t>
    </rPh>
    <phoneticPr fontId="5"/>
  </si>
  <si>
    <t>機種150</t>
    <rPh sb="0" eb="2">
      <t>キシュ</t>
    </rPh>
    <phoneticPr fontId="5"/>
  </si>
  <si>
    <t>機種151</t>
    <rPh sb="0" eb="2">
      <t>キシュ</t>
    </rPh>
    <phoneticPr fontId="5"/>
  </si>
  <si>
    <t>機種152</t>
    <rPh sb="0" eb="2">
      <t>キシュ</t>
    </rPh>
    <phoneticPr fontId="5"/>
  </si>
  <si>
    <t>機種153</t>
    <rPh sb="0" eb="2">
      <t>キシュ</t>
    </rPh>
    <phoneticPr fontId="5"/>
  </si>
  <si>
    <t>機種154</t>
    <rPh sb="0" eb="2">
      <t>キシュ</t>
    </rPh>
    <phoneticPr fontId="5"/>
  </si>
  <si>
    <t>機種155</t>
    <rPh sb="0" eb="2">
      <t>キシュ</t>
    </rPh>
    <phoneticPr fontId="5"/>
  </si>
  <si>
    <t>機種156</t>
    <rPh sb="0" eb="2">
      <t>キシュ</t>
    </rPh>
    <phoneticPr fontId="5"/>
  </si>
  <si>
    <t>機種157</t>
    <rPh sb="0" eb="2">
      <t>キシュ</t>
    </rPh>
    <phoneticPr fontId="5"/>
  </si>
  <si>
    <t>機種158</t>
    <rPh sb="0" eb="2">
      <t>キシュ</t>
    </rPh>
    <phoneticPr fontId="5"/>
  </si>
  <si>
    <t>機種159</t>
    <rPh sb="0" eb="2">
      <t>キシュ</t>
    </rPh>
    <phoneticPr fontId="5"/>
  </si>
  <si>
    <t>機種160</t>
    <rPh sb="0" eb="2">
      <t>キシュ</t>
    </rPh>
    <phoneticPr fontId="5"/>
  </si>
  <si>
    <t>機種161</t>
    <rPh sb="0" eb="2">
      <t>キシュ</t>
    </rPh>
    <phoneticPr fontId="5"/>
  </si>
  <si>
    <t>機種162</t>
    <rPh sb="0" eb="2">
      <t>キシュ</t>
    </rPh>
    <phoneticPr fontId="5"/>
  </si>
  <si>
    <t>機種163</t>
    <rPh sb="0" eb="2">
      <t>キシュ</t>
    </rPh>
    <phoneticPr fontId="5"/>
  </si>
  <si>
    <t>機種164</t>
    <rPh sb="0" eb="2">
      <t>キシュ</t>
    </rPh>
    <phoneticPr fontId="5"/>
  </si>
  <si>
    <t>機種165</t>
    <rPh sb="0" eb="2">
      <t>キシュ</t>
    </rPh>
    <phoneticPr fontId="5"/>
  </si>
  <si>
    <t>機種166</t>
    <rPh sb="0" eb="2">
      <t>キシュ</t>
    </rPh>
    <phoneticPr fontId="5"/>
  </si>
  <si>
    <t>機種167</t>
    <rPh sb="0" eb="2">
      <t>キシュ</t>
    </rPh>
    <phoneticPr fontId="5"/>
  </si>
  <si>
    <t>機種168</t>
    <rPh sb="0" eb="2">
      <t>キシュ</t>
    </rPh>
    <phoneticPr fontId="5"/>
  </si>
  <si>
    <t>機種169</t>
    <rPh sb="0" eb="2">
      <t>キシュ</t>
    </rPh>
    <phoneticPr fontId="5"/>
  </si>
  <si>
    <t>機種170</t>
    <rPh sb="0" eb="2">
      <t>キシュ</t>
    </rPh>
    <phoneticPr fontId="5"/>
  </si>
  <si>
    <t>機種171</t>
    <rPh sb="0" eb="2">
      <t>キシュ</t>
    </rPh>
    <phoneticPr fontId="5"/>
  </si>
  <si>
    <t>機種172</t>
    <rPh sb="0" eb="2">
      <t>キシュ</t>
    </rPh>
    <phoneticPr fontId="5"/>
  </si>
  <si>
    <t>機種173</t>
    <rPh sb="0" eb="2">
      <t>キシュ</t>
    </rPh>
    <phoneticPr fontId="5"/>
  </si>
  <si>
    <t>機種174</t>
    <rPh sb="0" eb="2">
      <t>キシュ</t>
    </rPh>
    <phoneticPr fontId="5"/>
  </si>
  <si>
    <t>機種175</t>
    <rPh sb="0" eb="2">
      <t>キシュ</t>
    </rPh>
    <phoneticPr fontId="5"/>
  </si>
  <si>
    <t>機種176</t>
    <rPh sb="0" eb="2">
      <t>キシュ</t>
    </rPh>
    <phoneticPr fontId="5"/>
  </si>
  <si>
    <t>機種177</t>
    <rPh sb="0" eb="2">
      <t>キシュ</t>
    </rPh>
    <phoneticPr fontId="5"/>
  </si>
  <si>
    <t>機種178</t>
    <rPh sb="0" eb="2">
      <t>キシュ</t>
    </rPh>
    <phoneticPr fontId="5"/>
  </si>
  <si>
    <t>機種179</t>
    <rPh sb="0" eb="2">
      <t>キシュ</t>
    </rPh>
    <phoneticPr fontId="5"/>
  </si>
  <si>
    <t>機種180</t>
    <rPh sb="0" eb="2">
      <t>キシュ</t>
    </rPh>
    <phoneticPr fontId="5"/>
  </si>
  <si>
    <t>機種181</t>
    <rPh sb="0" eb="2">
      <t>キシュ</t>
    </rPh>
    <phoneticPr fontId="5"/>
  </si>
  <si>
    <t>機種182</t>
    <rPh sb="0" eb="2">
      <t>キシュ</t>
    </rPh>
    <phoneticPr fontId="5"/>
  </si>
  <si>
    <t>機種183</t>
    <rPh sb="0" eb="2">
      <t>キシュ</t>
    </rPh>
    <phoneticPr fontId="5"/>
  </si>
  <si>
    <t>機種184</t>
    <rPh sb="0" eb="2">
      <t>キシュ</t>
    </rPh>
    <phoneticPr fontId="5"/>
  </si>
  <si>
    <t>機種185</t>
    <rPh sb="0" eb="2">
      <t>キシュ</t>
    </rPh>
    <phoneticPr fontId="5"/>
  </si>
  <si>
    <t>機種186</t>
    <rPh sb="0" eb="2">
      <t>キシュ</t>
    </rPh>
    <phoneticPr fontId="5"/>
  </si>
  <si>
    <t>機種187</t>
    <rPh sb="0" eb="2">
      <t>キシュ</t>
    </rPh>
    <phoneticPr fontId="5"/>
  </si>
  <si>
    <t>機種188</t>
    <rPh sb="0" eb="2">
      <t>キシュ</t>
    </rPh>
    <phoneticPr fontId="5"/>
  </si>
  <si>
    <t>機種189</t>
    <rPh sb="0" eb="2">
      <t>キシュ</t>
    </rPh>
    <phoneticPr fontId="5"/>
  </si>
  <si>
    <t>機種190</t>
    <rPh sb="0" eb="2">
      <t>キシュ</t>
    </rPh>
    <phoneticPr fontId="5"/>
  </si>
  <si>
    <t>機種191</t>
    <rPh sb="0" eb="2">
      <t>キシュ</t>
    </rPh>
    <phoneticPr fontId="5"/>
  </si>
  <si>
    <t>機種192</t>
    <rPh sb="0" eb="2">
      <t>キシュ</t>
    </rPh>
    <phoneticPr fontId="5"/>
  </si>
  <si>
    <t>機種193</t>
    <rPh sb="0" eb="2">
      <t>キシュ</t>
    </rPh>
    <phoneticPr fontId="5"/>
  </si>
  <si>
    <t>機種194</t>
    <rPh sb="0" eb="2">
      <t>キシュ</t>
    </rPh>
    <phoneticPr fontId="5"/>
  </si>
  <si>
    <t>機種195</t>
    <rPh sb="0" eb="2">
      <t>キシュ</t>
    </rPh>
    <phoneticPr fontId="5"/>
  </si>
  <si>
    <t>機種196</t>
    <rPh sb="0" eb="2">
      <t>キシュ</t>
    </rPh>
    <phoneticPr fontId="5"/>
  </si>
  <si>
    <t>機種197</t>
    <rPh sb="0" eb="2">
      <t>キシュ</t>
    </rPh>
    <phoneticPr fontId="5"/>
  </si>
  <si>
    <t>機種198</t>
    <rPh sb="0" eb="2">
      <t>キシュ</t>
    </rPh>
    <phoneticPr fontId="5"/>
  </si>
  <si>
    <t>機種199</t>
    <rPh sb="0" eb="2">
      <t>キシュ</t>
    </rPh>
    <phoneticPr fontId="5"/>
  </si>
  <si>
    <t>機種200</t>
    <rPh sb="0" eb="2">
      <t>キシュ</t>
    </rPh>
    <phoneticPr fontId="5"/>
  </si>
  <si>
    <t>機種201</t>
    <rPh sb="0" eb="2">
      <t>キシュ</t>
    </rPh>
    <phoneticPr fontId="5"/>
  </si>
  <si>
    <t>機種202</t>
    <rPh sb="0" eb="2">
      <t>キシュ</t>
    </rPh>
    <phoneticPr fontId="5"/>
  </si>
  <si>
    <t>機種203</t>
    <rPh sb="0" eb="2">
      <t>キシュ</t>
    </rPh>
    <phoneticPr fontId="5"/>
  </si>
  <si>
    <t>機種204</t>
    <rPh sb="0" eb="2">
      <t>キシュ</t>
    </rPh>
    <phoneticPr fontId="5"/>
  </si>
  <si>
    <t>機種205</t>
    <rPh sb="0" eb="2">
      <t>キシュ</t>
    </rPh>
    <phoneticPr fontId="5"/>
  </si>
  <si>
    <t>機種206</t>
    <rPh sb="0" eb="2">
      <t>キシュ</t>
    </rPh>
    <phoneticPr fontId="5"/>
  </si>
  <si>
    <t>機種207</t>
    <rPh sb="0" eb="2">
      <t>キシュ</t>
    </rPh>
    <phoneticPr fontId="5"/>
  </si>
  <si>
    <t>機種208</t>
    <rPh sb="0" eb="2">
      <t>キシュ</t>
    </rPh>
    <phoneticPr fontId="5"/>
  </si>
  <si>
    <t>機種209</t>
    <rPh sb="0" eb="2">
      <t>キシュ</t>
    </rPh>
    <phoneticPr fontId="5"/>
  </si>
  <si>
    <t>機種210</t>
    <rPh sb="0" eb="2">
      <t>キシュ</t>
    </rPh>
    <phoneticPr fontId="5"/>
  </si>
  <si>
    <t>機種211</t>
    <rPh sb="0" eb="2">
      <t>キシュ</t>
    </rPh>
    <phoneticPr fontId="5"/>
  </si>
  <si>
    <t>機種212</t>
    <rPh sb="0" eb="2">
      <t>キシュ</t>
    </rPh>
    <phoneticPr fontId="5"/>
  </si>
  <si>
    <t>機種213</t>
    <rPh sb="0" eb="2">
      <t>キシュ</t>
    </rPh>
    <phoneticPr fontId="5"/>
  </si>
  <si>
    <t>機種214</t>
    <rPh sb="0" eb="2">
      <t>キシュ</t>
    </rPh>
    <phoneticPr fontId="5"/>
  </si>
  <si>
    <t>機種215</t>
    <rPh sb="0" eb="2">
      <t>キシュ</t>
    </rPh>
    <phoneticPr fontId="5"/>
  </si>
  <si>
    <t>機種216</t>
    <rPh sb="0" eb="2">
      <t>キシュ</t>
    </rPh>
    <phoneticPr fontId="5"/>
  </si>
  <si>
    <t>機種217</t>
    <rPh sb="0" eb="2">
      <t>キシュ</t>
    </rPh>
    <phoneticPr fontId="5"/>
  </si>
  <si>
    <t>機種218</t>
    <rPh sb="0" eb="2">
      <t>キシュ</t>
    </rPh>
    <phoneticPr fontId="5"/>
  </si>
  <si>
    <t>機種219</t>
    <rPh sb="0" eb="2">
      <t>キシュ</t>
    </rPh>
    <phoneticPr fontId="5"/>
  </si>
  <si>
    <t>機種220</t>
    <rPh sb="0" eb="2">
      <t>キシュ</t>
    </rPh>
    <phoneticPr fontId="5"/>
  </si>
  <si>
    <t>機種221</t>
    <rPh sb="0" eb="2">
      <t>キシュ</t>
    </rPh>
    <phoneticPr fontId="5"/>
  </si>
  <si>
    <t>機種222</t>
    <rPh sb="0" eb="2">
      <t>キシュ</t>
    </rPh>
    <phoneticPr fontId="5"/>
  </si>
  <si>
    <t>機種223</t>
    <rPh sb="0" eb="2">
      <t>キシュ</t>
    </rPh>
    <phoneticPr fontId="5"/>
  </si>
  <si>
    <t>機種224</t>
    <rPh sb="0" eb="2">
      <t>キシュ</t>
    </rPh>
    <phoneticPr fontId="5"/>
  </si>
  <si>
    <t>機種225</t>
    <rPh sb="0" eb="2">
      <t>キシュ</t>
    </rPh>
    <phoneticPr fontId="5"/>
  </si>
  <si>
    <t>機種226</t>
    <rPh sb="0" eb="2">
      <t>キシュ</t>
    </rPh>
    <phoneticPr fontId="5"/>
  </si>
  <si>
    <t>機種227</t>
    <rPh sb="0" eb="2">
      <t>キシュ</t>
    </rPh>
    <phoneticPr fontId="5"/>
  </si>
  <si>
    <t>機種228</t>
    <rPh sb="0" eb="2">
      <t>キシュ</t>
    </rPh>
    <phoneticPr fontId="5"/>
  </si>
  <si>
    <t>機種229</t>
    <rPh sb="0" eb="2">
      <t>キシュ</t>
    </rPh>
    <phoneticPr fontId="5"/>
  </si>
  <si>
    <t>機種230</t>
    <rPh sb="0" eb="2">
      <t>キシュ</t>
    </rPh>
    <phoneticPr fontId="5"/>
  </si>
  <si>
    <t>機種231</t>
    <rPh sb="0" eb="2">
      <t>キシュ</t>
    </rPh>
    <phoneticPr fontId="5"/>
  </si>
  <si>
    <t>機種232</t>
    <rPh sb="0" eb="2">
      <t>キシュ</t>
    </rPh>
    <phoneticPr fontId="5"/>
  </si>
  <si>
    <t>機種233</t>
    <rPh sb="0" eb="2">
      <t>キシュ</t>
    </rPh>
    <phoneticPr fontId="5"/>
  </si>
  <si>
    <t>機種234</t>
    <rPh sb="0" eb="2">
      <t>キシュ</t>
    </rPh>
    <phoneticPr fontId="5"/>
  </si>
  <si>
    <t>機種235</t>
    <rPh sb="0" eb="2">
      <t>キシュ</t>
    </rPh>
    <phoneticPr fontId="5"/>
  </si>
  <si>
    <t>機種236</t>
    <rPh sb="0" eb="2">
      <t>キシュ</t>
    </rPh>
    <phoneticPr fontId="5"/>
  </si>
  <si>
    <t>機種237</t>
    <rPh sb="0" eb="2">
      <t>キシュ</t>
    </rPh>
    <phoneticPr fontId="5"/>
  </si>
  <si>
    <t>機種238</t>
    <rPh sb="0" eb="2">
      <t>キシュ</t>
    </rPh>
    <phoneticPr fontId="5"/>
  </si>
  <si>
    <t>機種239</t>
    <rPh sb="0" eb="2">
      <t>キシュ</t>
    </rPh>
    <phoneticPr fontId="5"/>
  </si>
  <si>
    <t>機種240</t>
    <rPh sb="0" eb="2">
      <t>キシュ</t>
    </rPh>
    <phoneticPr fontId="5"/>
  </si>
  <si>
    <t>機種241</t>
    <rPh sb="0" eb="2">
      <t>キシュ</t>
    </rPh>
    <phoneticPr fontId="5"/>
  </si>
  <si>
    <t>機種242</t>
    <rPh sb="0" eb="2">
      <t>キシュ</t>
    </rPh>
    <phoneticPr fontId="5"/>
  </si>
  <si>
    <t>機種243</t>
    <rPh sb="0" eb="2">
      <t>キシュ</t>
    </rPh>
    <phoneticPr fontId="5"/>
  </si>
  <si>
    <t>機種244</t>
    <rPh sb="0" eb="2">
      <t>キシュ</t>
    </rPh>
    <phoneticPr fontId="5"/>
  </si>
  <si>
    <t>機種245</t>
    <rPh sb="0" eb="2">
      <t>キシュ</t>
    </rPh>
    <phoneticPr fontId="5"/>
  </si>
  <si>
    <t>機種246</t>
    <rPh sb="0" eb="2">
      <t>キシュ</t>
    </rPh>
    <phoneticPr fontId="5"/>
  </si>
  <si>
    <t>機種247</t>
    <rPh sb="0" eb="2">
      <t>キシュ</t>
    </rPh>
    <phoneticPr fontId="5"/>
  </si>
  <si>
    <t>機種248</t>
    <rPh sb="0" eb="2">
      <t>キシュ</t>
    </rPh>
    <phoneticPr fontId="5"/>
  </si>
  <si>
    <t>機種249</t>
    <rPh sb="0" eb="2">
      <t>キシュ</t>
    </rPh>
    <phoneticPr fontId="5"/>
  </si>
  <si>
    <t>機種250</t>
    <rPh sb="0" eb="2">
      <t>キシュ</t>
    </rPh>
    <phoneticPr fontId="5"/>
  </si>
  <si>
    <t>機種251</t>
    <rPh sb="0" eb="2">
      <t>キシュ</t>
    </rPh>
    <phoneticPr fontId="5"/>
  </si>
  <si>
    <t>機種252</t>
    <rPh sb="0" eb="2">
      <t>キシュ</t>
    </rPh>
    <phoneticPr fontId="5"/>
  </si>
  <si>
    <t>機種253</t>
    <rPh sb="0" eb="2">
      <t>キシュ</t>
    </rPh>
    <phoneticPr fontId="5"/>
  </si>
  <si>
    <t>機種254</t>
    <rPh sb="0" eb="2">
      <t>キシュ</t>
    </rPh>
    <phoneticPr fontId="5"/>
  </si>
  <si>
    <t>機種255</t>
    <rPh sb="0" eb="2">
      <t>キシュ</t>
    </rPh>
    <phoneticPr fontId="5"/>
  </si>
  <si>
    <t>機種256</t>
    <rPh sb="0" eb="2">
      <t>キシュ</t>
    </rPh>
    <phoneticPr fontId="5"/>
  </si>
  <si>
    <t>機種257</t>
    <rPh sb="0" eb="2">
      <t>キシュ</t>
    </rPh>
    <phoneticPr fontId="5"/>
  </si>
  <si>
    <t>機種258</t>
    <rPh sb="0" eb="2">
      <t>キシュ</t>
    </rPh>
    <phoneticPr fontId="5"/>
  </si>
  <si>
    <t>機種259</t>
    <rPh sb="0" eb="2">
      <t>キシュ</t>
    </rPh>
    <phoneticPr fontId="5"/>
  </si>
  <si>
    <t>機種260</t>
    <rPh sb="0" eb="2">
      <t>キシュ</t>
    </rPh>
    <phoneticPr fontId="5"/>
  </si>
  <si>
    <t>機種261</t>
    <rPh sb="0" eb="2">
      <t>キシュ</t>
    </rPh>
    <phoneticPr fontId="5"/>
  </si>
  <si>
    <t>機種262</t>
    <rPh sb="0" eb="2">
      <t>キシュ</t>
    </rPh>
    <phoneticPr fontId="5"/>
  </si>
  <si>
    <t>機種263</t>
    <rPh sb="0" eb="2">
      <t>キシュ</t>
    </rPh>
    <phoneticPr fontId="5"/>
  </si>
  <si>
    <t>機種264</t>
    <rPh sb="0" eb="2">
      <t>キシュ</t>
    </rPh>
    <phoneticPr fontId="5"/>
  </si>
  <si>
    <t>機種265</t>
    <rPh sb="0" eb="2">
      <t>キシュ</t>
    </rPh>
    <phoneticPr fontId="5"/>
  </si>
  <si>
    <t>機種266</t>
    <rPh sb="0" eb="2">
      <t>キシュ</t>
    </rPh>
    <phoneticPr fontId="5"/>
  </si>
  <si>
    <t>機種267</t>
    <rPh sb="0" eb="2">
      <t>キシュ</t>
    </rPh>
    <phoneticPr fontId="5"/>
  </si>
  <si>
    <t>機種268</t>
    <rPh sb="0" eb="2">
      <t>キシュ</t>
    </rPh>
    <phoneticPr fontId="5"/>
  </si>
  <si>
    <t>機種269</t>
    <rPh sb="0" eb="2">
      <t>キシュ</t>
    </rPh>
    <phoneticPr fontId="5"/>
  </si>
  <si>
    <t>機種270</t>
    <rPh sb="0" eb="2">
      <t>キシュ</t>
    </rPh>
    <phoneticPr fontId="5"/>
  </si>
  <si>
    <t>機種271</t>
    <rPh sb="0" eb="2">
      <t>キシュ</t>
    </rPh>
    <phoneticPr fontId="5"/>
  </si>
  <si>
    <t>機種272</t>
    <rPh sb="0" eb="2">
      <t>キシュ</t>
    </rPh>
    <phoneticPr fontId="5"/>
  </si>
  <si>
    <t>機種273</t>
    <rPh sb="0" eb="2">
      <t>キシュ</t>
    </rPh>
    <phoneticPr fontId="5"/>
  </si>
  <si>
    <t>機種274</t>
    <rPh sb="0" eb="2">
      <t>キシュ</t>
    </rPh>
    <phoneticPr fontId="5"/>
  </si>
  <si>
    <t>機種275</t>
    <rPh sb="0" eb="2">
      <t>キシュ</t>
    </rPh>
    <phoneticPr fontId="5"/>
  </si>
  <si>
    <t>機種276</t>
    <rPh sb="0" eb="2">
      <t>キシュ</t>
    </rPh>
    <phoneticPr fontId="5"/>
  </si>
  <si>
    <t>機種277</t>
    <rPh sb="0" eb="2">
      <t>キシュ</t>
    </rPh>
    <phoneticPr fontId="5"/>
  </si>
  <si>
    <t>機種278</t>
    <rPh sb="0" eb="2">
      <t>キシュ</t>
    </rPh>
    <phoneticPr fontId="5"/>
  </si>
  <si>
    <t>機種279</t>
    <rPh sb="0" eb="2">
      <t>キシュ</t>
    </rPh>
    <phoneticPr fontId="5"/>
  </si>
  <si>
    <t>機種280</t>
    <rPh sb="0" eb="2">
      <t>キシュ</t>
    </rPh>
    <phoneticPr fontId="5"/>
  </si>
  <si>
    <t>機種281</t>
    <rPh sb="0" eb="2">
      <t>キシュ</t>
    </rPh>
    <phoneticPr fontId="5"/>
  </si>
  <si>
    <t>機種282</t>
    <rPh sb="0" eb="2">
      <t>キシュ</t>
    </rPh>
    <phoneticPr fontId="5"/>
  </si>
  <si>
    <t>機種283</t>
    <rPh sb="0" eb="2">
      <t>キシュ</t>
    </rPh>
    <phoneticPr fontId="5"/>
  </si>
  <si>
    <t>機種284</t>
    <rPh sb="0" eb="2">
      <t>キシュ</t>
    </rPh>
    <phoneticPr fontId="5"/>
  </si>
  <si>
    <t>機種285</t>
    <rPh sb="0" eb="2">
      <t>キシュ</t>
    </rPh>
    <phoneticPr fontId="5"/>
  </si>
  <si>
    <t>機種286</t>
    <rPh sb="0" eb="2">
      <t>キシュ</t>
    </rPh>
    <phoneticPr fontId="5"/>
  </si>
  <si>
    <t>機種287</t>
    <rPh sb="0" eb="2">
      <t>キシュ</t>
    </rPh>
    <phoneticPr fontId="5"/>
  </si>
  <si>
    <t>機種288</t>
    <rPh sb="0" eb="2">
      <t>キシュ</t>
    </rPh>
    <phoneticPr fontId="5"/>
  </si>
  <si>
    <t>機種289</t>
    <rPh sb="0" eb="2">
      <t>キシュ</t>
    </rPh>
    <phoneticPr fontId="5"/>
  </si>
  <si>
    <t>機種290</t>
    <rPh sb="0" eb="2">
      <t>キシュ</t>
    </rPh>
    <phoneticPr fontId="5"/>
  </si>
  <si>
    <t>機種291</t>
    <rPh sb="0" eb="2">
      <t>キシュ</t>
    </rPh>
    <phoneticPr fontId="5"/>
  </si>
  <si>
    <t>機種292</t>
    <rPh sb="0" eb="2">
      <t>キシュ</t>
    </rPh>
    <phoneticPr fontId="5"/>
  </si>
  <si>
    <t>機種293</t>
    <rPh sb="0" eb="2">
      <t>キシュ</t>
    </rPh>
    <phoneticPr fontId="5"/>
  </si>
  <si>
    <t>機種294</t>
    <rPh sb="0" eb="2">
      <t>キシュ</t>
    </rPh>
    <phoneticPr fontId="5"/>
  </si>
  <si>
    <t>機種295</t>
    <rPh sb="0" eb="2">
      <t>キシュ</t>
    </rPh>
    <phoneticPr fontId="5"/>
  </si>
  <si>
    <t>機種296</t>
    <rPh sb="0" eb="2">
      <t>キシュ</t>
    </rPh>
    <phoneticPr fontId="5"/>
  </si>
  <si>
    <t>機種297</t>
    <rPh sb="0" eb="2">
      <t>キシュ</t>
    </rPh>
    <phoneticPr fontId="5"/>
  </si>
  <si>
    <t>機種298</t>
    <rPh sb="0" eb="2">
      <t>キシュ</t>
    </rPh>
    <phoneticPr fontId="5"/>
  </si>
  <si>
    <t>機種299</t>
    <rPh sb="0" eb="2">
      <t>キシュ</t>
    </rPh>
    <phoneticPr fontId="5"/>
  </si>
  <si>
    <t>機種300</t>
    <rPh sb="0" eb="2">
      <t>キシュ</t>
    </rPh>
    <phoneticPr fontId="5"/>
  </si>
  <si>
    <t>機種301</t>
    <rPh sb="0" eb="2">
      <t>キシュ</t>
    </rPh>
    <phoneticPr fontId="5"/>
  </si>
  <si>
    <t>機種302</t>
    <rPh sb="0" eb="2">
      <t>キシュ</t>
    </rPh>
    <phoneticPr fontId="5"/>
  </si>
  <si>
    <t>機種303</t>
    <rPh sb="0" eb="2">
      <t>キシュ</t>
    </rPh>
    <phoneticPr fontId="5"/>
  </si>
  <si>
    <t>機種304</t>
    <rPh sb="0" eb="2">
      <t>キシュ</t>
    </rPh>
    <phoneticPr fontId="5"/>
  </si>
  <si>
    <t>機種305</t>
    <rPh sb="0" eb="2">
      <t>キシュ</t>
    </rPh>
    <phoneticPr fontId="5"/>
  </si>
  <si>
    <t>機種306</t>
    <rPh sb="0" eb="2">
      <t>キシュ</t>
    </rPh>
    <phoneticPr fontId="5"/>
  </si>
  <si>
    <t>機種307</t>
    <rPh sb="0" eb="2">
      <t>キシュ</t>
    </rPh>
    <phoneticPr fontId="5"/>
  </si>
  <si>
    <t>機種308</t>
    <rPh sb="0" eb="2">
      <t>キシュ</t>
    </rPh>
    <phoneticPr fontId="5"/>
  </si>
  <si>
    <t>機種309</t>
    <rPh sb="0" eb="2">
      <t>キシュ</t>
    </rPh>
    <phoneticPr fontId="5"/>
  </si>
  <si>
    <t>機種310</t>
    <rPh sb="0" eb="2">
      <t>キシュ</t>
    </rPh>
    <phoneticPr fontId="5"/>
  </si>
  <si>
    <t>機種311</t>
    <rPh sb="0" eb="2">
      <t>キシュ</t>
    </rPh>
    <phoneticPr fontId="5"/>
  </si>
  <si>
    <t>機種312</t>
    <rPh sb="0" eb="2">
      <t>キシュ</t>
    </rPh>
    <phoneticPr fontId="5"/>
  </si>
  <si>
    <t>機種313</t>
    <rPh sb="0" eb="2">
      <t>キシュ</t>
    </rPh>
    <phoneticPr fontId="5"/>
  </si>
  <si>
    <t>機種314</t>
    <rPh sb="0" eb="2">
      <t>キシュ</t>
    </rPh>
    <phoneticPr fontId="5"/>
  </si>
  <si>
    <t>機種315</t>
    <rPh sb="0" eb="2">
      <t>キシュ</t>
    </rPh>
    <phoneticPr fontId="5"/>
  </si>
  <si>
    <t>機種316</t>
    <rPh sb="0" eb="2">
      <t>キシュ</t>
    </rPh>
    <phoneticPr fontId="5"/>
  </si>
  <si>
    <t>機種317</t>
    <rPh sb="0" eb="2">
      <t>キシュ</t>
    </rPh>
    <phoneticPr fontId="5"/>
  </si>
  <si>
    <t>機種318</t>
    <rPh sb="0" eb="2">
      <t>キシュ</t>
    </rPh>
    <phoneticPr fontId="5"/>
  </si>
  <si>
    <t>機種319</t>
    <rPh sb="0" eb="2">
      <t>キシュ</t>
    </rPh>
    <phoneticPr fontId="5"/>
  </si>
  <si>
    <t>機種320</t>
    <rPh sb="0" eb="2">
      <t>キシュ</t>
    </rPh>
    <phoneticPr fontId="5"/>
  </si>
  <si>
    <t>機種321</t>
    <rPh sb="0" eb="2">
      <t>キシュ</t>
    </rPh>
    <phoneticPr fontId="5"/>
  </si>
  <si>
    <t>機種322</t>
    <rPh sb="0" eb="2">
      <t>キシュ</t>
    </rPh>
    <phoneticPr fontId="5"/>
  </si>
  <si>
    <t>機種323</t>
    <rPh sb="0" eb="2">
      <t>キシュ</t>
    </rPh>
    <phoneticPr fontId="5"/>
  </si>
  <si>
    <t>機種324</t>
    <rPh sb="0" eb="2">
      <t>キシュ</t>
    </rPh>
    <phoneticPr fontId="5"/>
  </si>
  <si>
    <t>機種325</t>
    <rPh sb="0" eb="2">
      <t>キシュ</t>
    </rPh>
    <phoneticPr fontId="5"/>
  </si>
  <si>
    <t>機種326</t>
    <rPh sb="0" eb="2">
      <t>キシュ</t>
    </rPh>
    <phoneticPr fontId="5"/>
  </si>
  <si>
    <t>機種327</t>
    <rPh sb="0" eb="2">
      <t>キシュ</t>
    </rPh>
    <phoneticPr fontId="5"/>
  </si>
  <si>
    <t>機種328</t>
    <rPh sb="0" eb="2">
      <t>キシュ</t>
    </rPh>
    <phoneticPr fontId="5"/>
  </si>
  <si>
    <t>機種329</t>
    <rPh sb="0" eb="2">
      <t>キシュ</t>
    </rPh>
    <phoneticPr fontId="5"/>
  </si>
  <si>
    <t>機種330</t>
    <rPh sb="0" eb="2">
      <t>キシュ</t>
    </rPh>
    <phoneticPr fontId="5"/>
  </si>
  <si>
    <t>機種331</t>
    <rPh sb="0" eb="2">
      <t>キシュ</t>
    </rPh>
    <phoneticPr fontId="5"/>
  </si>
  <si>
    <t>機種332</t>
    <rPh sb="0" eb="2">
      <t>キシュ</t>
    </rPh>
    <phoneticPr fontId="5"/>
  </si>
  <si>
    <t>機種333</t>
    <rPh sb="0" eb="2">
      <t>キシュ</t>
    </rPh>
    <phoneticPr fontId="5"/>
  </si>
  <si>
    <t>機種334</t>
    <rPh sb="0" eb="2">
      <t>キシュ</t>
    </rPh>
    <phoneticPr fontId="5"/>
  </si>
  <si>
    <t>機種335</t>
    <rPh sb="0" eb="2">
      <t>キシュ</t>
    </rPh>
    <phoneticPr fontId="5"/>
  </si>
  <si>
    <t>機種336</t>
    <rPh sb="0" eb="2">
      <t>キシュ</t>
    </rPh>
    <phoneticPr fontId="5"/>
  </si>
  <si>
    <t>機種337</t>
    <rPh sb="0" eb="2">
      <t>キシュ</t>
    </rPh>
    <phoneticPr fontId="5"/>
  </si>
  <si>
    <t>機種338</t>
    <rPh sb="0" eb="2">
      <t>キシュ</t>
    </rPh>
    <phoneticPr fontId="5"/>
  </si>
  <si>
    <t>機種339</t>
    <rPh sb="0" eb="2">
      <t>キシュ</t>
    </rPh>
    <phoneticPr fontId="5"/>
  </si>
  <si>
    <t>機種340</t>
    <rPh sb="0" eb="2">
      <t>キシュ</t>
    </rPh>
    <phoneticPr fontId="5"/>
  </si>
  <si>
    <t>機種341</t>
    <rPh sb="0" eb="2">
      <t>キシュ</t>
    </rPh>
    <phoneticPr fontId="5"/>
  </si>
  <si>
    <t>機種342</t>
    <rPh sb="0" eb="2">
      <t>キシュ</t>
    </rPh>
    <phoneticPr fontId="5"/>
  </si>
  <si>
    <t>機種343</t>
    <rPh sb="0" eb="2">
      <t>キシュ</t>
    </rPh>
    <phoneticPr fontId="5"/>
  </si>
  <si>
    <t>機種344</t>
    <rPh sb="0" eb="2">
      <t>キシュ</t>
    </rPh>
    <phoneticPr fontId="5"/>
  </si>
  <si>
    <t>機種345</t>
    <rPh sb="0" eb="2">
      <t>キシュ</t>
    </rPh>
    <phoneticPr fontId="5"/>
  </si>
  <si>
    <t>機種346</t>
    <rPh sb="0" eb="2">
      <t>キシュ</t>
    </rPh>
    <phoneticPr fontId="5"/>
  </si>
  <si>
    <t>機種347</t>
    <rPh sb="0" eb="2">
      <t>キシュ</t>
    </rPh>
    <phoneticPr fontId="5"/>
  </si>
  <si>
    <t>機種348</t>
    <rPh sb="0" eb="2">
      <t>キシュ</t>
    </rPh>
    <phoneticPr fontId="5"/>
  </si>
  <si>
    <t>機種349</t>
    <rPh sb="0" eb="2">
      <t>キシュ</t>
    </rPh>
    <phoneticPr fontId="5"/>
  </si>
  <si>
    <t>機種350</t>
    <rPh sb="0" eb="2">
      <t>キシュ</t>
    </rPh>
    <phoneticPr fontId="5"/>
  </si>
  <si>
    <t>機種351</t>
    <rPh sb="0" eb="2">
      <t>キシュ</t>
    </rPh>
    <phoneticPr fontId="5"/>
  </si>
  <si>
    <t>機種352</t>
    <rPh sb="0" eb="2">
      <t>キシュ</t>
    </rPh>
    <phoneticPr fontId="5"/>
  </si>
  <si>
    <t>機種353</t>
    <rPh sb="0" eb="2">
      <t>キシュ</t>
    </rPh>
    <phoneticPr fontId="5"/>
  </si>
  <si>
    <t>機種354</t>
    <rPh sb="0" eb="2">
      <t>キシュ</t>
    </rPh>
    <phoneticPr fontId="5"/>
  </si>
  <si>
    <t>機種355</t>
    <rPh sb="0" eb="2">
      <t>キシュ</t>
    </rPh>
    <phoneticPr fontId="5"/>
  </si>
  <si>
    <t>機種356</t>
    <rPh sb="0" eb="2">
      <t>キシュ</t>
    </rPh>
    <phoneticPr fontId="5"/>
  </si>
  <si>
    <t>機種357</t>
    <rPh sb="0" eb="2">
      <t>キシュ</t>
    </rPh>
    <phoneticPr fontId="5"/>
  </si>
  <si>
    <t>機種358</t>
    <rPh sb="0" eb="2">
      <t>キシュ</t>
    </rPh>
    <phoneticPr fontId="5"/>
  </si>
  <si>
    <t>機種359</t>
    <rPh sb="0" eb="2">
      <t>キシュ</t>
    </rPh>
    <phoneticPr fontId="5"/>
  </si>
  <si>
    <t>機種360</t>
    <rPh sb="0" eb="2">
      <t>キシュ</t>
    </rPh>
    <phoneticPr fontId="5"/>
  </si>
  <si>
    <t>機種361</t>
    <rPh sb="0" eb="2">
      <t>キシュ</t>
    </rPh>
    <phoneticPr fontId="5"/>
  </si>
  <si>
    <t>機種362</t>
    <rPh sb="0" eb="2">
      <t>キシュ</t>
    </rPh>
    <phoneticPr fontId="5"/>
  </si>
  <si>
    <t>機種363</t>
    <rPh sb="0" eb="2">
      <t>キシュ</t>
    </rPh>
    <phoneticPr fontId="5"/>
  </si>
  <si>
    <t>機種364</t>
    <rPh sb="0" eb="2">
      <t>キシュ</t>
    </rPh>
    <phoneticPr fontId="5"/>
  </si>
  <si>
    <t>機種365</t>
    <rPh sb="0" eb="2">
      <t>キシュ</t>
    </rPh>
    <phoneticPr fontId="5"/>
  </si>
  <si>
    <t>機種366</t>
    <rPh sb="0" eb="2">
      <t>キシュ</t>
    </rPh>
    <phoneticPr fontId="5"/>
  </si>
  <si>
    <t>機種367</t>
    <rPh sb="0" eb="2">
      <t>キシュ</t>
    </rPh>
    <phoneticPr fontId="5"/>
  </si>
  <si>
    <t>機種368</t>
    <rPh sb="0" eb="2">
      <t>キシュ</t>
    </rPh>
    <phoneticPr fontId="5"/>
  </si>
  <si>
    <t>機種369</t>
    <rPh sb="0" eb="2">
      <t>キシュ</t>
    </rPh>
    <phoneticPr fontId="5"/>
  </si>
  <si>
    <t>機種370</t>
    <rPh sb="0" eb="2">
      <t>キシュ</t>
    </rPh>
    <phoneticPr fontId="5"/>
  </si>
  <si>
    <t>機種371</t>
    <rPh sb="0" eb="2">
      <t>キシュ</t>
    </rPh>
    <phoneticPr fontId="5"/>
  </si>
  <si>
    <t>機種372</t>
    <rPh sb="0" eb="2">
      <t>キシュ</t>
    </rPh>
    <phoneticPr fontId="5"/>
  </si>
  <si>
    <t>機種373</t>
    <rPh sb="0" eb="2">
      <t>キシュ</t>
    </rPh>
    <phoneticPr fontId="5"/>
  </si>
  <si>
    <t>機種374</t>
    <rPh sb="0" eb="2">
      <t>キシュ</t>
    </rPh>
    <phoneticPr fontId="5"/>
  </si>
  <si>
    <t>機種375</t>
    <rPh sb="0" eb="2">
      <t>キシュ</t>
    </rPh>
    <phoneticPr fontId="5"/>
  </si>
  <si>
    <t>機種376</t>
    <rPh sb="0" eb="2">
      <t>キシュ</t>
    </rPh>
    <phoneticPr fontId="5"/>
  </si>
  <si>
    <t>機種377</t>
    <rPh sb="0" eb="2">
      <t>キシュ</t>
    </rPh>
    <phoneticPr fontId="5"/>
  </si>
  <si>
    <t>機種378</t>
    <rPh sb="0" eb="2">
      <t>キシュ</t>
    </rPh>
    <phoneticPr fontId="5"/>
  </si>
  <si>
    <t>機種379</t>
    <rPh sb="0" eb="2">
      <t>キシュ</t>
    </rPh>
    <phoneticPr fontId="5"/>
  </si>
  <si>
    <t>機種380</t>
    <rPh sb="0" eb="2">
      <t>キシュ</t>
    </rPh>
    <phoneticPr fontId="5"/>
  </si>
  <si>
    <t>機種381</t>
    <rPh sb="0" eb="2">
      <t>キシュ</t>
    </rPh>
    <phoneticPr fontId="5"/>
  </si>
  <si>
    <t>機種382</t>
    <rPh sb="0" eb="2">
      <t>キシュ</t>
    </rPh>
    <phoneticPr fontId="5"/>
  </si>
  <si>
    <t>機種383</t>
    <rPh sb="0" eb="2">
      <t>キシュ</t>
    </rPh>
    <phoneticPr fontId="5"/>
  </si>
  <si>
    <t>機種384</t>
    <rPh sb="0" eb="2">
      <t>キシュ</t>
    </rPh>
    <phoneticPr fontId="5"/>
  </si>
  <si>
    <t>機種385</t>
    <rPh sb="0" eb="2">
      <t>キシュ</t>
    </rPh>
    <phoneticPr fontId="5"/>
  </si>
  <si>
    <t>機種386</t>
    <rPh sb="0" eb="2">
      <t>キシュ</t>
    </rPh>
    <phoneticPr fontId="5"/>
  </si>
  <si>
    <t>機種387</t>
    <rPh sb="0" eb="2">
      <t>キシュ</t>
    </rPh>
    <phoneticPr fontId="5"/>
  </si>
  <si>
    <t>機種388</t>
    <rPh sb="0" eb="2">
      <t>キシュ</t>
    </rPh>
    <phoneticPr fontId="5"/>
  </si>
  <si>
    <t>機種389</t>
    <rPh sb="0" eb="2">
      <t>キシュ</t>
    </rPh>
    <phoneticPr fontId="5"/>
  </si>
  <si>
    <t>機種390</t>
    <rPh sb="0" eb="2">
      <t>キシュ</t>
    </rPh>
    <phoneticPr fontId="5"/>
  </si>
  <si>
    <t>機種391</t>
    <rPh sb="0" eb="2">
      <t>キシュ</t>
    </rPh>
    <phoneticPr fontId="5"/>
  </si>
  <si>
    <t>機種392</t>
    <rPh sb="0" eb="2">
      <t>キシュ</t>
    </rPh>
    <phoneticPr fontId="5"/>
  </si>
  <si>
    <t>機種393</t>
    <rPh sb="0" eb="2">
      <t>キシュ</t>
    </rPh>
    <phoneticPr fontId="5"/>
  </si>
  <si>
    <t>機種394</t>
    <rPh sb="0" eb="2">
      <t>キシュ</t>
    </rPh>
    <phoneticPr fontId="5"/>
  </si>
  <si>
    <t>機種395</t>
    <rPh sb="0" eb="2">
      <t>キシュ</t>
    </rPh>
    <phoneticPr fontId="5"/>
  </si>
  <si>
    <t>機種396</t>
    <rPh sb="0" eb="2">
      <t>キシュ</t>
    </rPh>
    <phoneticPr fontId="5"/>
  </si>
  <si>
    <t>機種397</t>
    <rPh sb="0" eb="2">
      <t>キシュ</t>
    </rPh>
    <phoneticPr fontId="5"/>
  </si>
  <si>
    <t>機種398</t>
    <rPh sb="0" eb="2">
      <t>キシュ</t>
    </rPh>
    <phoneticPr fontId="5"/>
  </si>
  <si>
    <t>機種399</t>
    <rPh sb="0" eb="2">
      <t>キシュ</t>
    </rPh>
    <phoneticPr fontId="5"/>
  </si>
  <si>
    <t>機種400</t>
    <rPh sb="0" eb="2">
      <t>キシュ</t>
    </rPh>
    <phoneticPr fontId="5"/>
  </si>
  <si>
    <t>EQ-235YWK</t>
  </si>
  <si>
    <t>■資源エネルギー庁　標準発熱量・炭素排出係数（総合エネルギー統計）</t>
    <rPh sb="1" eb="3">
      <t>シゲン</t>
    </rPh>
    <rPh sb="8" eb="9">
      <t>チョウ</t>
    </rPh>
    <phoneticPr fontId="5"/>
  </si>
  <si>
    <t>■環境省　算定方法・排出係数一覧</t>
    <rPh sb="1" eb="4">
      <t>カンキョウショウ</t>
    </rPh>
    <phoneticPr fontId="5"/>
  </si>
  <si>
    <t>日使用時間
(t)</t>
    <rPh sb="0" eb="1">
      <t>ニチ</t>
    </rPh>
    <rPh sb="1" eb="3">
      <t>シヨウ</t>
    </rPh>
    <rPh sb="3" eb="5">
      <t>ジカン</t>
    </rPh>
    <phoneticPr fontId="5"/>
  </si>
  <si>
    <t>使用率(r1)</t>
    <rPh sb="2" eb="3">
      <t>リツ</t>
    </rPh>
    <phoneticPr fontId="5"/>
  </si>
  <si>
    <t>年間使用
時間(b)</t>
    <rPh sb="0" eb="2">
      <t>ネンカン</t>
    </rPh>
    <rPh sb="5" eb="7">
      <t>ジカン</t>
    </rPh>
    <phoneticPr fontId="5"/>
  </si>
  <si>
    <t>使用率(r2)</t>
    <rPh sb="2" eb="3">
      <t>リツ</t>
    </rPh>
    <phoneticPr fontId="5"/>
  </si>
  <si>
    <t>年間使用
時間(b')</t>
    <rPh sb="0" eb="2">
      <t>ネンカン</t>
    </rPh>
    <rPh sb="5" eb="7">
      <t>ジカン</t>
    </rPh>
    <phoneticPr fontId="5"/>
  </si>
  <si>
    <t>日使用時間
(t)</t>
    <rPh sb="0" eb="1">
      <t>ニチ</t>
    </rPh>
    <phoneticPr fontId="5"/>
  </si>
  <si>
    <t>日使用時間</t>
    <rPh sb="0" eb="1">
      <t>ニチ</t>
    </rPh>
    <phoneticPr fontId="5"/>
  </si>
  <si>
    <t>日使用時間</t>
    <rPh sb="0" eb="1">
      <t>ニチ</t>
    </rPh>
    <rPh sb="3" eb="5">
      <t>ジカン</t>
    </rPh>
    <phoneticPr fontId="5"/>
  </si>
  <si>
    <t>年間使用時間(b)</t>
    <rPh sb="0" eb="2">
      <t>ネンカン</t>
    </rPh>
    <rPh sb="4" eb="6">
      <t>ジカン</t>
    </rPh>
    <phoneticPr fontId="5"/>
  </si>
  <si>
    <t>年間使用時間(b')</t>
    <rPh sb="0" eb="2">
      <t>ネンカン</t>
    </rPh>
    <rPh sb="4" eb="6">
      <t>ジカン</t>
    </rPh>
    <phoneticPr fontId="5"/>
  </si>
  <si>
    <t>年間使用時間(t)</t>
    <rPh sb="0" eb="2">
      <t>ネンカン</t>
    </rPh>
    <phoneticPr fontId="5"/>
  </si>
  <si>
    <t>年間使用時間(t')</t>
    <phoneticPr fontId="5"/>
  </si>
  <si>
    <t>年間使用時間(t)</t>
    <rPh sb="0" eb="2">
      <t>ネンカン</t>
    </rPh>
    <rPh sb="4" eb="6">
      <t>ジカン</t>
    </rPh>
    <phoneticPr fontId="5"/>
  </si>
  <si>
    <t>定格能力</t>
    <rPh sb="0" eb="2">
      <t>テイカク</t>
    </rPh>
    <rPh sb="2" eb="4">
      <t>ノウリョク</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</si>
  <si>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</si>
  <si>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</si>
  <si>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</si>
  <si>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</si>
  <si>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t>導入年度
（西暦）</t>
    <rPh sb="0" eb="4">
      <t>ドウニュウネンド</t>
    </rPh>
    <rPh sb="6" eb="8">
      <t>セイレキ</t>
    </rPh>
    <phoneticPr fontId="5"/>
  </si>
  <si>
    <t>メーカー・
型番</t>
    <rPh sb="6" eb="8">
      <t>カタバン</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</si>
  <si>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</si>
  <si>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t>日使用時間(t)</t>
    <rPh sb="0" eb="1">
      <t>ニチ</t>
    </rPh>
    <phoneticPr fontId="5"/>
  </si>
  <si>
    <t>年間使用日数(d)</t>
    <rPh sb="0" eb="2">
      <t>ネンカン</t>
    </rPh>
    <rPh sb="4" eb="6">
      <t>ニッスウ</t>
    </rPh>
    <phoneticPr fontId="5"/>
  </si>
  <si>
    <t>都市ガス</t>
  </si>
  <si>
    <t>13A</t>
  </si>
  <si>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</si>
  <si>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</si>
  <si>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</si>
  <si>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</si>
  <si>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</si>
  <si>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</si>
  <si>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</si>
  <si>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t>日使用時間(t)</t>
    <rPh sb="0" eb="1">
      <t>ニチ</t>
    </rPh>
    <rPh sb="3" eb="5">
      <t>ジカン</t>
    </rPh>
    <phoneticPr fontId="5"/>
  </si>
  <si>
    <t>APF</t>
    <phoneticPr fontId="5"/>
  </si>
  <si>
    <t>更新前
APF</t>
    <rPh sb="0" eb="3">
      <t>コウシンマエ</t>
    </rPh>
    <phoneticPr fontId="5"/>
  </si>
  <si>
    <t>更新後
APF</t>
    <rPh sb="0" eb="3">
      <t>コウシンゴ</t>
    </rPh>
    <phoneticPr fontId="5"/>
  </si>
  <si>
    <t>原油削減量</t>
  </si>
  <si>
    <t>原油削減量</t>
    <rPh sb="0" eb="2">
      <t>ゲンユ</t>
    </rPh>
    <phoneticPr fontId="5"/>
  </si>
  <si>
    <t>kL/年</t>
  </si>
  <si>
    <t>kL/年</t>
    <rPh sb="3" eb="4">
      <t>ネン</t>
    </rPh>
    <phoneticPr fontId="5"/>
  </si>
  <si>
    <t>kL/年</t>
    <phoneticPr fontId="5"/>
  </si>
  <si>
    <t>機種401</t>
    <rPh sb="0" eb="2">
      <t>キシュ</t>
    </rPh>
    <phoneticPr fontId="5"/>
  </si>
  <si>
    <t>機種402</t>
    <rPh sb="0" eb="2">
      <t>キシュ</t>
    </rPh>
    <phoneticPr fontId="5"/>
  </si>
  <si>
    <t>機種403</t>
    <rPh sb="0" eb="2">
      <t>キシュ</t>
    </rPh>
    <phoneticPr fontId="5"/>
  </si>
  <si>
    <t>機種404</t>
    <rPh sb="0" eb="2">
      <t>キシュ</t>
    </rPh>
    <phoneticPr fontId="5"/>
  </si>
  <si>
    <t>機種405</t>
    <rPh sb="0" eb="2">
      <t>キシュ</t>
    </rPh>
    <phoneticPr fontId="5"/>
  </si>
  <si>
    <t>機種406</t>
    <rPh sb="0" eb="2">
      <t>キシュ</t>
    </rPh>
    <phoneticPr fontId="5"/>
  </si>
  <si>
    <t>機種407</t>
    <rPh sb="0" eb="2">
      <t>キシュ</t>
    </rPh>
    <phoneticPr fontId="5"/>
  </si>
  <si>
    <t>機種408</t>
    <rPh sb="0" eb="2">
      <t>キシュ</t>
    </rPh>
    <phoneticPr fontId="5"/>
  </si>
  <si>
    <t>機種409</t>
    <rPh sb="0" eb="2">
      <t>キシュ</t>
    </rPh>
    <phoneticPr fontId="5"/>
  </si>
  <si>
    <t>機種410</t>
    <rPh sb="0" eb="2">
      <t>キシュ</t>
    </rPh>
    <phoneticPr fontId="5"/>
  </si>
  <si>
    <t>機種411</t>
    <rPh sb="0" eb="2">
      <t>キシュ</t>
    </rPh>
    <phoneticPr fontId="5"/>
  </si>
  <si>
    <t>機種412</t>
    <rPh sb="0" eb="2">
      <t>キシュ</t>
    </rPh>
    <phoneticPr fontId="5"/>
  </si>
  <si>
    <t>機種413</t>
    <rPh sb="0" eb="2">
      <t>キシュ</t>
    </rPh>
    <phoneticPr fontId="5"/>
  </si>
  <si>
    <t>機種414</t>
    <rPh sb="0" eb="2">
      <t>キシュ</t>
    </rPh>
    <phoneticPr fontId="5"/>
  </si>
  <si>
    <t>機種415</t>
    <rPh sb="0" eb="2">
      <t>キシュ</t>
    </rPh>
    <phoneticPr fontId="5"/>
  </si>
  <si>
    <t>機種416</t>
    <rPh sb="0" eb="2">
      <t>キシュ</t>
    </rPh>
    <phoneticPr fontId="5"/>
  </si>
  <si>
    <t>機種417</t>
    <rPh sb="0" eb="2">
      <t>キシュ</t>
    </rPh>
    <phoneticPr fontId="5"/>
  </si>
  <si>
    <t>機種418</t>
    <rPh sb="0" eb="2">
      <t>キシュ</t>
    </rPh>
    <phoneticPr fontId="5"/>
  </si>
  <si>
    <t>機種419</t>
    <rPh sb="0" eb="2">
      <t>キシュ</t>
    </rPh>
    <phoneticPr fontId="5"/>
  </si>
  <si>
    <t>機種420</t>
    <rPh sb="0" eb="2">
      <t>キシュ</t>
    </rPh>
    <phoneticPr fontId="5"/>
  </si>
  <si>
    <t>機種421</t>
    <rPh sb="0" eb="2">
      <t>キシュ</t>
    </rPh>
    <phoneticPr fontId="5"/>
  </si>
  <si>
    <t>機種422</t>
    <rPh sb="0" eb="2">
      <t>キシュ</t>
    </rPh>
    <phoneticPr fontId="5"/>
  </si>
  <si>
    <t>機種423</t>
    <rPh sb="0" eb="2">
      <t>キシュ</t>
    </rPh>
    <phoneticPr fontId="5"/>
  </si>
  <si>
    <t>機種424</t>
    <rPh sb="0" eb="2">
      <t>キシュ</t>
    </rPh>
    <phoneticPr fontId="5"/>
  </si>
  <si>
    <t>機種425</t>
    <rPh sb="0" eb="2">
      <t>キシュ</t>
    </rPh>
    <phoneticPr fontId="5"/>
  </si>
  <si>
    <t>機種426</t>
    <rPh sb="0" eb="2">
      <t>キシュ</t>
    </rPh>
    <phoneticPr fontId="5"/>
  </si>
  <si>
    <t>機種427</t>
    <rPh sb="0" eb="2">
      <t>キシュ</t>
    </rPh>
    <phoneticPr fontId="5"/>
  </si>
  <si>
    <t>機種428</t>
    <rPh sb="0" eb="2">
      <t>キシュ</t>
    </rPh>
    <phoneticPr fontId="5"/>
  </si>
  <si>
    <t>機種429</t>
    <rPh sb="0" eb="2">
      <t>キシュ</t>
    </rPh>
    <phoneticPr fontId="5"/>
  </si>
  <si>
    <t>機種430</t>
    <rPh sb="0" eb="2">
      <t>キシュ</t>
    </rPh>
    <phoneticPr fontId="5"/>
  </si>
  <si>
    <t>機種431</t>
    <rPh sb="0" eb="2">
      <t>キシュ</t>
    </rPh>
    <phoneticPr fontId="5"/>
  </si>
  <si>
    <t>機種432</t>
    <rPh sb="0" eb="2">
      <t>キシュ</t>
    </rPh>
    <phoneticPr fontId="5"/>
  </si>
  <si>
    <t>機種433</t>
    <rPh sb="0" eb="2">
      <t>キシュ</t>
    </rPh>
    <phoneticPr fontId="5"/>
  </si>
  <si>
    <t>機種434</t>
    <rPh sb="0" eb="2">
      <t>キシュ</t>
    </rPh>
    <phoneticPr fontId="5"/>
  </si>
  <si>
    <t>機種435</t>
    <rPh sb="0" eb="2">
      <t>キシュ</t>
    </rPh>
    <phoneticPr fontId="5"/>
  </si>
  <si>
    <t>機種436</t>
    <rPh sb="0" eb="2">
      <t>キシュ</t>
    </rPh>
    <phoneticPr fontId="5"/>
  </si>
  <si>
    <t>機種437</t>
    <rPh sb="0" eb="2">
      <t>キシュ</t>
    </rPh>
    <phoneticPr fontId="5"/>
  </si>
  <si>
    <t>機種438</t>
    <rPh sb="0" eb="2">
      <t>キシュ</t>
    </rPh>
    <phoneticPr fontId="5"/>
  </si>
  <si>
    <t>機種439</t>
    <rPh sb="0" eb="2">
      <t>キシュ</t>
    </rPh>
    <phoneticPr fontId="5"/>
  </si>
  <si>
    <t>機種440</t>
    <rPh sb="0" eb="2">
      <t>キシュ</t>
    </rPh>
    <phoneticPr fontId="5"/>
  </si>
  <si>
    <t>機種441</t>
    <rPh sb="0" eb="2">
      <t>キシュ</t>
    </rPh>
    <phoneticPr fontId="5"/>
  </si>
  <si>
    <t>機種442</t>
    <rPh sb="0" eb="2">
      <t>キシュ</t>
    </rPh>
    <phoneticPr fontId="5"/>
  </si>
  <si>
    <t>機種443</t>
    <rPh sb="0" eb="2">
      <t>キシュ</t>
    </rPh>
    <phoneticPr fontId="5"/>
  </si>
  <si>
    <t>機種444</t>
    <rPh sb="0" eb="2">
      <t>キシュ</t>
    </rPh>
    <phoneticPr fontId="5"/>
  </si>
  <si>
    <t>機種445</t>
    <rPh sb="0" eb="2">
      <t>キシュ</t>
    </rPh>
    <phoneticPr fontId="5"/>
  </si>
  <si>
    <t>機種446</t>
    <rPh sb="0" eb="2">
      <t>キシュ</t>
    </rPh>
    <phoneticPr fontId="5"/>
  </si>
  <si>
    <t>機種447</t>
    <rPh sb="0" eb="2">
      <t>キシュ</t>
    </rPh>
    <phoneticPr fontId="5"/>
  </si>
  <si>
    <t>機種448</t>
    <rPh sb="0" eb="2">
      <t>キシュ</t>
    </rPh>
    <phoneticPr fontId="5"/>
  </si>
  <si>
    <t>機種449</t>
    <rPh sb="0" eb="2">
      <t>キシュ</t>
    </rPh>
    <phoneticPr fontId="5"/>
  </si>
  <si>
    <t>機種450</t>
    <rPh sb="0" eb="2">
      <t>キシュ</t>
    </rPh>
    <phoneticPr fontId="5"/>
  </si>
  <si>
    <t>機種451</t>
    <rPh sb="0" eb="2">
      <t>キシュ</t>
    </rPh>
    <phoneticPr fontId="5"/>
  </si>
  <si>
    <t>機種452</t>
    <rPh sb="0" eb="2">
      <t>キシュ</t>
    </rPh>
    <phoneticPr fontId="5"/>
  </si>
  <si>
    <t>機種453</t>
    <rPh sb="0" eb="2">
      <t>キシュ</t>
    </rPh>
    <phoneticPr fontId="5"/>
  </si>
  <si>
    <t>機種454</t>
    <rPh sb="0" eb="2">
      <t>キシュ</t>
    </rPh>
    <phoneticPr fontId="5"/>
  </si>
  <si>
    <t>機種455</t>
    <rPh sb="0" eb="2">
      <t>キシュ</t>
    </rPh>
    <phoneticPr fontId="5"/>
  </si>
  <si>
    <t>機種456</t>
    <rPh sb="0" eb="2">
      <t>キシュ</t>
    </rPh>
    <phoneticPr fontId="5"/>
  </si>
  <si>
    <t>機種457</t>
    <rPh sb="0" eb="2">
      <t>キシュ</t>
    </rPh>
    <phoneticPr fontId="5"/>
  </si>
  <si>
    <t>機種458</t>
    <rPh sb="0" eb="2">
      <t>キシュ</t>
    </rPh>
    <phoneticPr fontId="5"/>
  </si>
  <si>
    <t>機種459</t>
    <rPh sb="0" eb="2">
      <t>キシュ</t>
    </rPh>
    <phoneticPr fontId="5"/>
  </si>
  <si>
    <t>機種460</t>
    <rPh sb="0" eb="2">
      <t>キシュ</t>
    </rPh>
    <phoneticPr fontId="5"/>
  </si>
  <si>
    <t>機種461</t>
    <rPh sb="0" eb="2">
      <t>キシュ</t>
    </rPh>
    <phoneticPr fontId="5"/>
  </si>
  <si>
    <t>機種462</t>
    <rPh sb="0" eb="2">
      <t>キシュ</t>
    </rPh>
    <phoneticPr fontId="5"/>
  </si>
  <si>
    <t>機種463</t>
    <rPh sb="0" eb="2">
      <t>キシュ</t>
    </rPh>
    <phoneticPr fontId="5"/>
  </si>
  <si>
    <t>機種464</t>
    <rPh sb="0" eb="2">
      <t>キシュ</t>
    </rPh>
    <phoneticPr fontId="5"/>
  </si>
  <si>
    <t>機種465</t>
    <rPh sb="0" eb="2">
      <t>キシュ</t>
    </rPh>
    <phoneticPr fontId="5"/>
  </si>
  <si>
    <t>機種466</t>
    <rPh sb="0" eb="2">
      <t>キシュ</t>
    </rPh>
    <phoneticPr fontId="5"/>
  </si>
  <si>
    <t>機種467</t>
    <rPh sb="0" eb="2">
      <t>キシュ</t>
    </rPh>
    <phoneticPr fontId="5"/>
  </si>
  <si>
    <t>機種468</t>
    <rPh sb="0" eb="2">
      <t>キシュ</t>
    </rPh>
    <phoneticPr fontId="5"/>
  </si>
  <si>
    <t>機種469</t>
    <rPh sb="0" eb="2">
      <t>キシュ</t>
    </rPh>
    <phoneticPr fontId="5"/>
  </si>
  <si>
    <t>機種470</t>
    <rPh sb="0" eb="2">
      <t>キシュ</t>
    </rPh>
    <phoneticPr fontId="5"/>
  </si>
  <si>
    <t>機種471</t>
    <rPh sb="0" eb="2">
      <t>キシュ</t>
    </rPh>
    <phoneticPr fontId="5"/>
  </si>
  <si>
    <t>機種472</t>
    <rPh sb="0" eb="2">
      <t>キシュ</t>
    </rPh>
    <phoneticPr fontId="5"/>
  </si>
  <si>
    <t>機種473</t>
    <rPh sb="0" eb="2">
      <t>キシュ</t>
    </rPh>
    <phoneticPr fontId="5"/>
  </si>
  <si>
    <t>機種474</t>
    <rPh sb="0" eb="2">
      <t>キシュ</t>
    </rPh>
    <phoneticPr fontId="5"/>
  </si>
  <si>
    <t>機種475</t>
    <rPh sb="0" eb="2">
      <t>キシュ</t>
    </rPh>
    <phoneticPr fontId="5"/>
  </si>
  <si>
    <t>機種476</t>
    <rPh sb="0" eb="2">
      <t>キシュ</t>
    </rPh>
    <phoneticPr fontId="5"/>
  </si>
  <si>
    <t>機種477</t>
    <rPh sb="0" eb="2">
      <t>キシュ</t>
    </rPh>
    <phoneticPr fontId="5"/>
  </si>
  <si>
    <t>機種478</t>
    <rPh sb="0" eb="2">
      <t>キシュ</t>
    </rPh>
    <phoneticPr fontId="5"/>
  </si>
  <si>
    <t>機種479</t>
    <rPh sb="0" eb="2">
      <t>キシュ</t>
    </rPh>
    <phoneticPr fontId="5"/>
  </si>
  <si>
    <t>機種480</t>
    <rPh sb="0" eb="2">
      <t>キシュ</t>
    </rPh>
    <phoneticPr fontId="5"/>
  </si>
  <si>
    <t>機種481</t>
    <rPh sb="0" eb="2">
      <t>キシュ</t>
    </rPh>
    <phoneticPr fontId="5"/>
  </si>
  <si>
    <t>機種482</t>
    <rPh sb="0" eb="2">
      <t>キシュ</t>
    </rPh>
    <phoneticPr fontId="5"/>
  </si>
  <si>
    <t>機種483</t>
    <rPh sb="0" eb="2">
      <t>キシュ</t>
    </rPh>
    <phoneticPr fontId="5"/>
  </si>
  <si>
    <t>機種484</t>
    <rPh sb="0" eb="2">
      <t>キシュ</t>
    </rPh>
    <phoneticPr fontId="5"/>
  </si>
  <si>
    <t>機種485</t>
    <rPh sb="0" eb="2">
      <t>キシュ</t>
    </rPh>
    <phoneticPr fontId="5"/>
  </si>
  <si>
    <t>機種486</t>
    <rPh sb="0" eb="2">
      <t>キシュ</t>
    </rPh>
    <phoneticPr fontId="5"/>
  </si>
  <si>
    <t>機種487</t>
    <rPh sb="0" eb="2">
      <t>キシュ</t>
    </rPh>
    <phoneticPr fontId="5"/>
  </si>
  <si>
    <t>機種488</t>
    <rPh sb="0" eb="2">
      <t>キシュ</t>
    </rPh>
    <phoneticPr fontId="5"/>
  </si>
  <si>
    <t>機種489</t>
    <rPh sb="0" eb="2">
      <t>キシュ</t>
    </rPh>
    <phoneticPr fontId="5"/>
  </si>
  <si>
    <t>機種490</t>
    <rPh sb="0" eb="2">
      <t>キシュ</t>
    </rPh>
    <phoneticPr fontId="5"/>
  </si>
  <si>
    <t>機種491</t>
    <rPh sb="0" eb="2">
      <t>キシュ</t>
    </rPh>
    <phoneticPr fontId="5"/>
  </si>
  <si>
    <t>機種492</t>
    <rPh sb="0" eb="2">
      <t>キシュ</t>
    </rPh>
    <phoneticPr fontId="5"/>
  </si>
  <si>
    <t>機種493</t>
    <rPh sb="0" eb="2">
      <t>キシュ</t>
    </rPh>
    <phoneticPr fontId="5"/>
  </si>
  <si>
    <t>機種494</t>
    <rPh sb="0" eb="2">
      <t>キシュ</t>
    </rPh>
    <phoneticPr fontId="5"/>
  </si>
  <si>
    <t>機種495</t>
    <rPh sb="0" eb="2">
      <t>キシュ</t>
    </rPh>
    <phoneticPr fontId="5"/>
  </si>
  <si>
    <t>機種496</t>
    <rPh sb="0" eb="2">
      <t>キシュ</t>
    </rPh>
    <phoneticPr fontId="5"/>
  </si>
  <si>
    <t>機種497</t>
    <rPh sb="0" eb="2">
      <t>キシュ</t>
    </rPh>
    <phoneticPr fontId="5"/>
  </si>
  <si>
    <t>機種498</t>
    <rPh sb="0" eb="2">
      <t>キシュ</t>
    </rPh>
    <phoneticPr fontId="5"/>
  </si>
  <si>
    <t>機種499</t>
    <rPh sb="0" eb="2">
      <t>キシュ</t>
    </rPh>
    <phoneticPr fontId="5"/>
  </si>
  <si>
    <t>機種500</t>
    <rPh sb="0" eb="2">
      <t>キシュ</t>
    </rPh>
    <phoneticPr fontId="5"/>
  </si>
  <si>
    <t>原油削減量</t>
    <phoneticPr fontId="5"/>
  </si>
  <si>
    <t>kL/年</t>
    <phoneticPr fontId="5"/>
  </si>
  <si>
    <t>kL/年</t>
    <phoneticPr fontId="5"/>
  </si>
  <si>
    <t>(㎥/(kW・h)</t>
    <phoneticPr fontId="13"/>
  </si>
  <si>
    <t>原油削減量</t>
    <phoneticPr fontId="5"/>
  </si>
  <si>
    <t>記入必須</t>
    <rPh sb="0" eb="4">
      <t>キニュウヒッス</t>
    </rPh>
    <phoneticPr fontId="5"/>
  </si>
  <si>
    <t>任意</t>
    <rPh sb="0" eb="2">
      <t>ニンイ</t>
    </rPh>
    <phoneticPr fontId="5"/>
  </si>
  <si>
    <t>算定結果</t>
    <rPh sb="0" eb="4">
      <t>サンテイケッカ</t>
    </rPh>
    <phoneticPr fontId="5"/>
  </si>
  <si>
    <t>時間/日</t>
    <rPh sb="0" eb="2">
      <t>ジカン</t>
    </rPh>
    <rPh sb="3" eb="4">
      <t>ニチ</t>
    </rPh>
    <phoneticPr fontId="5"/>
  </si>
  <si>
    <t>日/年</t>
    <rPh sb="0" eb="1">
      <t>ニチ</t>
    </rPh>
    <rPh sb="2" eb="3">
      <t>ネン</t>
    </rPh>
    <phoneticPr fontId="5"/>
  </si>
  <si>
    <t>年</t>
    <rPh sb="0" eb="1">
      <t>ネン</t>
    </rPh>
    <phoneticPr fontId="5"/>
  </si>
  <si>
    <t>個</t>
    <rPh sb="0" eb="1">
      <t>コ</t>
    </rPh>
    <phoneticPr fontId="5"/>
  </si>
  <si>
    <t>極</t>
    <rPh sb="0" eb="1">
      <t>キョク</t>
    </rPh>
    <phoneticPr fontId="5"/>
  </si>
  <si>
    <t>％</t>
    <phoneticPr fontId="5"/>
  </si>
  <si>
    <t>冷房COP</t>
    <rPh sb="0" eb="2">
      <t>レイボウ</t>
    </rPh>
    <phoneticPr fontId="5"/>
  </si>
  <si>
    <t>暖房COP</t>
    <rPh sb="0" eb="2">
      <t>ダンボウ</t>
    </rPh>
    <phoneticPr fontId="5"/>
  </si>
  <si>
    <t>更新後</t>
    <rPh sb="0" eb="3">
      <t>コウシンゴ</t>
    </rPh>
    <phoneticPr fontId="5"/>
  </si>
  <si>
    <t>COP評価値</t>
    <rPh sb="3" eb="6">
      <t>ヒョウカチ</t>
    </rPh>
    <phoneticPr fontId="5"/>
  </si>
  <si>
    <t>冷暖房
COP評価値</t>
    <rPh sb="0" eb="3">
      <t>レイダンボウ</t>
    </rPh>
    <rPh sb="7" eb="10">
      <t>ヒョウカチ</t>
    </rPh>
    <phoneticPr fontId="5"/>
  </si>
  <si>
    <t>（参考）更新後</t>
    <rPh sb="1" eb="3">
      <t>サンコウ</t>
    </rPh>
    <rPh sb="4" eb="7">
      <t>コウシンゴ</t>
    </rPh>
    <phoneticPr fontId="5"/>
  </si>
  <si>
    <t>年間</t>
    <rPh sb="0" eb="2">
      <t>ネンカン</t>
    </rPh>
    <phoneticPr fontId="5"/>
  </si>
  <si>
    <t>（参考）更新前</t>
    <rPh sb="1" eb="3">
      <t>サンコウ</t>
    </rPh>
    <rPh sb="4" eb="7">
      <t>コウシンマエ</t>
    </rPh>
    <phoneticPr fontId="5"/>
  </si>
  <si>
    <t>冷房年間電力消費量</t>
    <rPh sb="0" eb="2">
      <t>レイボウ</t>
    </rPh>
    <rPh sb="2" eb="4">
      <t>ネンカン</t>
    </rPh>
    <phoneticPr fontId="5"/>
  </si>
  <si>
    <t>冷房年間定格消費ガス量</t>
    <rPh sb="0" eb="2">
      <t>レイボウ</t>
    </rPh>
    <phoneticPr fontId="5"/>
  </si>
  <si>
    <t>暖房年間電力消費量</t>
    <rPh sb="0" eb="2">
      <t>ダンボウ</t>
    </rPh>
    <rPh sb="2" eb="4">
      <t>ネンカン</t>
    </rPh>
    <phoneticPr fontId="5"/>
  </si>
  <si>
    <t>暖房年間定格消費ガス量</t>
    <rPh sb="0" eb="2">
      <t>ダンボウ</t>
    </rPh>
    <phoneticPr fontId="5"/>
  </si>
  <si>
    <t>●COP評価値（CO2排出量（実績値）による重みづけ）</t>
    <rPh sb="4" eb="7">
      <t>ヒョウカチ</t>
    </rPh>
    <rPh sb="11" eb="14">
      <t>ハイシュツリョウ</t>
    </rPh>
    <rPh sb="15" eb="18">
      <t>ジッセキチ</t>
    </rPh>
    <rPh sb="22" eb="23">
      <t>オモ</t>
    </rPh>
    <phoneticPr fontId="5"/>
  </si>
  <si>
    <t>冷暖房年CO2排出量</t>
    <rPh sb="0" eb="3">
      <t>レイダンボウ</t>
    </rPh>
    <rPh sb="3" eb="4">
      <t>ネン</t>
    </rPh>
    <rPh sb="7" eb="10">
      <t>ハイシュツリョウ</t>
    </rPh>
    <phoneticPr fontId="5"/>
  </si>
  <si>
    <t>※更新前は更新前、更新後は更新後の値で算出</t>
    <rPh sb="1" eb="4">
      <t>コウシンマエ</t>
    </rPh>
    <rPh sb="5" eb="8">
      <t>コウシンマエ</t>
    </rPh>
    <rPh sb="9" eb="12">
      <t>コウシンゴ</t>
    </rPh>
    <rPh sb="13" eb="16">
      <t>コウシンゴ</t>
    </rPh>
    <rPh sb="17" eb="18">
      <t>アタイ</t>
    </rPh>
    <rPh sb="19" eb="21">
      <t>サンシュツ</t>
    </rPh>
    <phoneticPr fontId="5"/>
  </si>
  <si>
    <t>冷房COP×冷房年CO2排出量＋暖房COP×暖房年CO2排出量</t>
    <rPh sb="0" eb="2">
      <t>レイボウ</t>
    </rPh>
    <rPh sb="6" eb="8">
      <t>レイボウ</t>
    </rPh>
    <rPh sb="8" eb="9">
      <t>ネン</t>
    </rPh>
    <rPh sb="12" eb="15">
      <t>ハイシュツリョウ</t>
    </rPh>
    <rPh sb="16" eb="18">
      <t>ダンボウ</t>
    </rPh>
    <rPh sb="22" eb="24">
      <t>ダンボウ</t>
    </rPh>
    <phoneticPr fontId="5"/>
  </si>
  <si>
    <t>CO2削減量</t>
    <rPh sb="3" eb="6">
      <t>サクゲンリョウ</t>
    </rPh>
    <phoneticPr fontId="5"/>
  </si>
  <si>
    <r>
      <t>年間電力消費量(E</t>
    </r>
    <r>
      <rPr>
        <vertAlign val="subscript"/>
        <sz val="11"/>
        <color theme="1"/>
        <rFont val="游ゴシック"/>
        <family val="3"/>
        <charset val="128"/>
        <scheme val="minor"/>
      </rPr>
      <t>1</t>
    </r>
    <r>
      <rPr>
        <sz val="11"/>
        <color theme="1"/>
        <rFont val="游ゴシック"/>
        <family val="2"/>
        <scheme val="minor"/>
      </rPr>
      <t>)</t>
    </r>
    <phoneticPr fontId="5"/>
  </si>
  <si>
    <t>年間使用日数</t>
    <rPh sb="0" eb="2">
      <t>ネンカン</t>
    </rPh>
    <rPh sb="4" eb="6">
      <t>ニッスウ</t>
    </rPh>
    <phoneticPr fontId="5"/>
  </si>
  <si>
    <r>
      <t>年間使用時間(d'</t>
    </r>
    <r>
      <rPr>
        <vertAlign val="subscript"/>
        <sz val="11"/>
        <color theme="1"/>
        <rFont val="游ゴシック"/>
        <family val="3"/>
        <charset val="128"/>
        <scheme val="minor"/>
      </rPr>
      <t>1</t>
    </r>
    <r>
      <rPr>
        <sz val="11"/>
        <color theme="1"/>
        <rFont val="游ゴシック"/>
        <family val="2"/>
        <scheme val="minor"/>
      </rPr>
      <t>)</t>
    </r>
    <phoneticPr fontId="5"/>
  </si>
  <si>
    <r>
      <t>年間使用時間(d'</t>
    </r>
    <r>
      <rPr>
        <vertAlign val="subscript"/>
        <sz val="11"/>
        <color theme="1"/>
        <rFont val="游ゴシック"/>
        <family val="3"/>
        <charset val="128"/>
        <scheme val="minor"/>
      </rPr>
      <t>2</t>
    </r>
    <r>
      <rPr>
        <sz val="11"/>
        <color theme="1"/>
        <rFont val="游ゴシック"/>
        <family val="2"/>
        <scheme val="minor"/>
      </rPr>
      <t>)</t>
    </r>
    <phoneticPr fontId="5"/>
  </si>
  <si>
    <t>削減効果</t>
    <phoneticPr fontId="5"/>
  </si>
  <si>
    <t>年間</t>
    <rPh sb="0" eb="2">
      <t>ネンカン</t>
    </rPh>
    <phoneticPr fontId="5"/>
  </si>
  <si>
    <t>年間電力消費量(E2)</t>
    <phoneticPr fontId="5"/>
  </si>
  <si>
    <r>
      <t>CO2排出量(C</t>
    </r>
    <r>
      <rPr>
        <vertAlign val="subscript"/>
        <sz val="11"/>
        <color theme="1"/>
        <rFont val="游ゴシック"/>
        <family val="2"/>
        <scheme val="minor"/>
      </rPr>
      <t>2</t>
    </r>
    <r>
      <rPr>
        <sz val="11"/>
        <color theme="1"/>
        <rFont val="游ゴシック"/>
        <family val="2"/>
        <scheme val="minor"/>
      </rPr>
      <t>)</t>
    </r>
    <rPh sb="3" eb="6">
      <t>ハイシュツリョウ</t>
    </rPh>
    <phoneticPr fontId="5"/>
  </si>
  <si>
    <t>年間電力
削減量</t>
    <rPh sb="0" eb="2">
      <t>ネンカン</t>
    </rPh>
    <rPh sb="2" eb="4">
      <t>デンリョク</t>
    </rPh>
    <rPh sb="5" eb="8">
      <t>サクゲンリョウ</t>
    </rPh>
    <phoneticPr fontId="5"/>
  </si>
  <si>
    <t>年間原油
削減量</t>
    <rPh sb="0" eb="2">
      <t>ネンカン</t>
    </rPh>
    <phoneticPr fontId="5"/>
  </si>
  <si>
    <t>更新前APF
(APF)</t>
    <rPh sb="0" eb="3">
      <t>コウシンマエ</t>
    </rPh>
    <phoneticPr fontId="5"/>
  </si>
  <si>
    <t>更新後APF
(APF')</t>
    <rPh sb="0" eb="3">
      <t>コウシンゴ</t>
    </rPh>
    <phoneticPr fontId="5"/>
  </si>
  <si>
    <t>年間燃料
削減量</t>
    <rPh sb="0" eb="2">
      <t>ネンカン</t>
    </rPh>
    <rPh sb="2" eb="4">
      <t>ネンリョウ</t>
    </rPh>
    <rPh sb="5" eb="7">
      <t>サクゲン</t>
    </rPh>
    <phoneticPr fontId="5"/>
  </si>
  <si>
    <t>年間CO2
削減量（C-C’）</t>
    <rPh sb="0" eb="2">
      <t>ネンカン</t>
    </rPh>
    <rPh sb="6" eb="9">
      <t>サクゲンリョウ</t>
    </rPh>
    <phoneticPr fontId="5"/>
  </si>
  <si>
    <r>
      <t>CO2排出量(C</t>
    </r>
    <r>
      <rPr>
        <sz val="11"/>
        <color theme="1"/>
        <rFont val="游ゴシック"/>
        <family val="2"/>
        <scheme val="minor"/>
      </rPr>
      <t>)</t>
    </r>
    <rPh sb="3" eb="6">
      <t>ハイシュツリョウ</t>
    </rPh>
    <phoneticPr fontId="5"/>
  </si>
  <si>
    <t>年間定格消費ガス量（F2）</t>
    <rPh sb="0" eb="2">
      <t>ネンカン</t>
    </rPh>
    <rPh sb="2" eb="4">
      <t>テイカク</t>
    </rPh>
    <rPh sb="4" eb="6">
      <t>ショウヒ</t>
    </rPh>
    <rPh sb="8" eb="9">
      <t>リョウ</t>
    </rPh>
    <phoneticPr fontId="5"/>
  </si>
  <si>
    <t>診断結果【既存設備のエネルギー使用量】</t>
    <rPh sb="0" eb="4">
      <t>シンダンケッカ</t>
    </rPh>
    <rPh sb="5" eb="9">
      <t>キゾンセツビ</t>
    </rPh>
    <rPh sb="15" eb="18">
      <t>シヨウリョウ</t>
    </rPh>
    <phoneticPr fontId="5"/>
  </si>
  <si>
    <t>㎥</t>
  </si>
  <si>
    <t>kg</t>
  </si>
  <si>
    <t>照明</t>
    <rPh sb="0" eb="2">
      <t>ショウメイ</t>
    </rPh>
    <phoneticPr fontId="5"/>
  </si>
  <si>
    <t>空調（電気）</t>
    <rPh sb="0" eb="2">
      <t>クウチョウ</t>
    </rPh>
    <rPh sb="3" eb="5">
      <t>デンキ</t>
    </rPh>
    <phoneticPr fontId="5"/>
  </si>
  <si>
    <t>空調（電気APF）</t>
    <rPh sb="0" eb="2">
      <t>クウチョウ</t>
    </rPh>
    <rPh sb="3" eb="5">
      <t>デンキ</t>
    </rPh>
    <phoneticPr fontId="5"/>
  </si>
  <si>
    <t>空調（GHP)</t>
    <rPh sb="0" eb="2">
      <t>クウチョウ</t>
    </rPh>
    <phoneticPr fontId="5"/>
  </si>
  <si>
    <t>空調（GHPATP)</t>
    <rPh sb="0" eb="2">
      <t>クウチョウ</t>
    </rPh>
    <phoneticPr fontId="5"/>
  </si>
  <si>
    <t>ボイラ・給湯</t>
    <rPh sb="4" eb="6">
      <t>キュウトウ</t>
    </rPh>
    <phoneticPr fontId="5"/>
  </si>
  <si>
    <t>変圧器</t>
    <rPh sb="0" eb="3">
      <t>ヘンアツキ</t>
    </rPh>
    <phoneticPr fontId="5"/>
  </si>
  <si>
    <t>コンプレッサ</t>
    <phoneticPr fontId="5"/>
  </si>
  <si>
    <t>エネルギー量判定</t>
    <rPh sb="5" eb="6">
      <t>リョウ</t>
    </rPh>
    <rPh sb="6" eb="8">
      <t>ハンテイ</t>
    </rPh>
    <phoneticPr fontId="5"/>
  </si>
  <si>
    <t>ー</t>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</si>
  <si>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0" eb="2">
      <t>テイカク</t>
    </rPh>
    <rPh sb="2" eb="4">
      <t>ショウヒ</t>
    </rPh>
    <rPh sb="4" eb="6">
      <t>デンリョク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</si>
</sst>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_);[Red]\(0\)"/>
    <numFmt numFmtId="177" formatCode="0.0%"/>
    <numFmt numFmtId="178" formatCode="0.0_);[Red]\(0.0\)"/>
    <numFmt numFmtId="179" formatCode="0.000000"/>
    <numFmt numFmtId="180" formatCode="#,##0.0_ "/>
    <numFmt numFmtId="181" formatCode="#,##0.0000_ "/>
    <numFmt numFmtId="182" formatCode="#,##0.00_ "/>
    <numFmt numFmtId="183" formatCode="#,##0.000_ "/>
    <numFmt numFmtId="184" formatCode="#,##0.000000_ "/>
    <numFmt numFmtId="185" formatCode="0.0"/>
    <numFmt numFmtId="186" formatCode="0_ "/>
    <numFmt numFmtId="187" formatCode="0.0_ "/>
    <numFmt numFmtId="188" formatCode="#,##0_);[Red]\(#,##0\)"/>
    <numFmt numFmtId="189" formatCode="#,##0.0_ ;[Red]\-#,##0.0\ "/>
    <numFmt numFmtId="190" formatCode="#,##0_ ;[Red]\-#,##0\ "/>
    <numFmt numFmtId="191" formatCode="#,##0.00_ ;[Red]\-#,##0.00\ "/>
    <numFmt numFmtId="192" formatCode="0.00_ ;[Red]\-0.00\ "/>
    <numFmt numFmtId="193" formatCode="0.00_ "/>
    <numFmt numFmtId="194" formatCode="#,##0.00_);[Red]\(#,##0.00\)"/>
    <numFmt numFmtId="195" formatCode="0.0_ ;[Red]\-0.0\ "/>
    <numFmt numFmtId="196" formatCode="#,##0.0_);[Red]\(#,##0.0\)"/>
    <numFmt numFmtId="197" formatCode="0_ ;[Red]\-0\ "/>
    <numFmt numFmtId="198" formatCode="#,##0.000_ ;[Red]\-#,##0.000\ "/>
    <numFmt numFmtId="199" formatCode="#,##0.0;[Red]\-#,##0.0"/>
    <numFmt numFmtId="200" formatCode="0.00_);[Red]\(0.00\)"/>
    <numFmt numFmtId="201" formatCode="0.000000_ "/>
    <numFmt numFmtId="202" formatCode="#,##0_ "/>
  </numFmts>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sz val="11"/>
      <color theme="7"/>
      <name val="游ゴシック"/>
      <family val="2"/>
      <scheme val="minor"/>
    </font>
    <font>
      <sz val="6"/>
      <name val="ＭＳ Ｐゴシック"/>
      <family val="3"/>
      <charset val="128"/>
    </font>
    <font>
      <sz val="9"/>
      <color theme="1"/>
      <name val="游ゴシック"/>
      <family val="2"/>
      <scheme val="minor"/>
    </font>
    <font>
      <sz val="10"/>
      <color theme="1"/>
      <name val="游ゴシック"/>
      <family val="2"/>
      <scheme val="minor"/>
    </font>
    <font>
      <sz val="10"/>
      <color theme="1"/>
      <name val="游ゴシック"/>
      <family val="3"/>
      <charset val="128"/>
      <scheme val="minor"/>
    </font>
    <font>
      <vertAlign val="subscript"/>
      <sz val="11"/>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1"/>
      <name val="ＭＳ Ｐゴシック"/>
      <family val="3"/>
      <charset val="128"/>
    </font>
    <font>
      <vertAlign val="subscript"/>
      <sz val="11"/>
      <color theme="1"/>
      <name val="游ゴシック"/>
      <family val="2"/>
      <scheme val="minor"/>
    </font>
    <font>
      <b/>
      <sz val="16"/>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sz val="16"/>
      <color theme="1"/>
      <name val="游ゴシック"/>
      <family val="2"/>
      <scheme val="minor"/>
    </font>
    <font>
      <sz val="11"/>
      <color rgb="FFFF0000"/>
      <name val="游ゴシック"/>
      <family val="2"/>
      <scheme val="minor"/>
    </font>
    <font>
      <sz val="11"/>
      <name val="游ゴシック"/>
      <family val="2"/>
      <scheme val="minor"/>
    </font>
    <font>
      <sz val="11"/>
      <color rgb="FFFF0000"/>
      <name val="游ゴシック"/>
      <family val="3"/>
      <charset val="128"/>
      <scheme val="minor"/>
    </font>
    <font>
      <b/>
      <sz val="11"/>
      <color theme="1"/>
      <name val="游ゴシック"/>
      <family val="3"/>
      <charset val="128"/>
      <scheme val="minor"/>
    </font>
    <font>
      <u/>
      <sz val="11"/>
      <color theme="1"/>
      <name val="游ゴシック"/>
      <family val="2"/>
      <scheme val="minor"/>
    </font>
    <font>
      <sz val="11"/>
      <name val="游ゴシック"/>
      <family val="3"/>
      <charset val="128"/>
      <scheme val="minor"/>
    </font>
    <font>
      <u/>
      <sz val="11"/>
      <color theme="10"/>
      <name val="游ゴシック"/>
      <family val="2"/>
      <scheme val="minor"/>
    </font>
    <font>
      <b/>
      <sz val="16"/>
      <color theme="1"/>
      <name val="游ゴシック"/>
      <family val="3"/>
      <charset val="128"/>
      <scheme val="minor"/>
    </font>
    <font>
      <b/>
      <sz val="11"/>
      <color theme="1"/>
      <name val="游ゴシック"/>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C99"/>
        <bgColor indexed="64"/>
      </patternFill>
    </fill>
    <fill>
      <patternFill patternType="solid">
        <fgColor theme="7"/>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indexed="64"/>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s>
  <cellStyleXfs count="7">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4" fillId="0" borderId="0">
      <alignment vertical="center"/>
    </xf>
    <xf numFmtId="0" fontId="2" fillId="0" borderId="0">
      <alignment vertical="center"/>
    </xf>
    <xf numFmtId="38" fontId="14" fillId="0" borderId="0" applyFont="0" applyFill="0" applyBorder="0" applyAlignment="0" applyProtection="0">
      <alignment vertical="center"/>
    </xf>
    <xf numFmtId="0" fontId="27" fillId="0" borderId="0" applyNumberFormat="0" applyFill="0" applyBorder="0" applyAlignment="0" applyProtection="0"/>
  </cellStyleXfs>
  <cellXfs count="750">
    <xf numFmtId="0" fontId="0" fillId="0" borderId="0" xfId="0"/>
    <xf numFmtId="0" fontId="4" fillId="0" borderId="0" xfId="0" applyFont="1"/>
    <xf numFmtId="0" fontId="0" fillId="2" borderId="1" xfId="0" applyFill="1" applyBorder="1" applyAlignment="1" applyProtection="1">
      <alignment shrinkToFit="1"/>
      <protection locked="0"/>
    </xf>
    <xf numFmtId="0" fontId="0" fillId="0" borderId="1" xfId="0" applyBorder="1"/>
    <xf numFmtId="0" fontId="0" fillId="0" borderId="1" xfId="0" applyBorder="1" applyAlignment="1">
      <alignment shrinkToFit="1"/>
    </xf>
    <xf numFmtId="38" fontId="0" fillId="2" borderId="1" xfId="1" applyFont="1" applyFill="1" applyBorder="1" applyAlignment="1" applyProtection="1">
      <alignment shrinkToFit="1"/>
      <protection locked="0"/>
    </xf>
    <xf numFmtId="0" fontId="0" fillId="2" borderId="1" xfId="0" applyFill="1" applyBorder="1" applyProtection="1">
      <protection locked="0"/>
    </xf>
    <xf numFmtId="0" fontId="0" fillId="0" borderId="1" xfId="0" applyFill="1" applyBorder="1" applyAlignment="1">
      <alignment shrinkToFit="1"/>
    </xf>
    <xf numFmtId="0" fontId="0" fillId="0" borderId="1" xfId="0" applyFill="1" applyBorder="1"/>
    <xf numFmtId="0" fontId="8" fillId="0" borderId="0" xfId="0" applyFont="1" applyAlignment="1">
      <alignment horizontal="right" vertical="center"/>
    </xf>
    <xf numFmtId="0" fontId="0" fillId="3" borderId="1" xfId="0" applyFill="1" applyBorder="1" applyAlignment="1" applyProtection="1">
      <alignment shrinkToFit="1"/>
      <protection locked="0"/>
    </xf>
    <xf numFmtId="0" fontId="0" fillId="4" borderId="1" xfId="0" applyFill="1" applyBorder="1"/>
    <xf numFmtId="38" fontId="0" fillId="0" borderId="1" xfId="1" applyFont="1" applyBorder="1" applyAlignment="1"/>
    <xf numFmtId="0" fontId="0" fillId="0" borderId="0" xfId="0" applyBorder="1"/>
    <xf numFmtId="0" fontId="0" fillId="0" borderId="1" xfId="0" applyBorder="1" applyAlignment="1">
      <alignment horizontal="center" vertical="center"/>
    </xf>
    <xf numFmtId="9" fontId="0" fillId="0" borderId="1" xfId="2" applyFont="1" applyBorder="1" applyAlignment="1">
      <alignment horizontal="center" vertical="center"/>
    </xf>
    <xf numFmtId="0" fontId="0" fillId="0" borderId="0" xfId="0" applyFill="1" applyBorder="1" applyAlignment="1">
      <alignment horizontal="left" vertical="center"/>
    </xf>
    <xf numFmtId="9" fontId="0" fillId="0" borderId="1" xfId="2" applyFont="1" applyBorder="1" applyAlignment="1">
      <alignment vertical="center"/>
    </xf>
    <xf numFmtId="38" fontId="0" fillId="0" borderId="1" xfId="1" applyFont="1" applyBorder="1" applyAlignment="1" applyProtection="1">
      <alignment vertical="center"/>
    </xf>
    <xf numFmtId="0" fontId="0" fillId="0" borderId="1" xfId="0" applyFill="1" applyBorder="1" applyAlignment="1" applyProtection="1">
      <alignment horizontal="center"/>
    </xf>
    <xf numFmtId="38" fontId="0" fillId="0" borderId="1" xfId="1" applyFont="1" applyBorder="1" applyAlignment="1" applyProtection="1"/>
    <xf numFmtId="38" fontId="0" fillId="0" borderId="1" xfId="1" applyFont="1" applyBorder="1" applyAlignment="1" applyProtection="1">
      <alignment horizontal="right" vertical="center"/>
    </xf>
    <xf numFmtId="9" fontId="0" fillId="0" borderId="1" xfId="2" applyFont="1" applyBorder="1" applyAlignment="1"/>
    <xf numFmtId="0" fontId="0" fillId="0" borderId="1" xfId="0" applyBorder="1" applyAlignment="1">
      <alignment horizontal="right"/>
    </xf>
    <xf numFmtId="0" fontId="0" fillId="0" borderId="1" xfId="0" applyBorder="1" applyProtection="1"/>
    <xf numFmtId="0" fontId="0" fillId="2" borderId="1" xfId="0" applyFill="1" applyBorder="1" applyAlignment="1" applyProtection="1">
      <alignment wrapText="1"/>
      <protection locked="0"/>
    </xf>
    <xf numFmtId="0" fontId="4" fillId="0" borderId="0" xfId="0" applyFont="1" applyProtection="1"/>
    <xf numFmtId="0" fontId="0" fillId="0" borderId="0" xfId="0" applyProtection="1"/>
    <xf numFmtId="9" fontId="0" fillId="2" borderId="1" xfId="2" applyFont="1" applyFill="1" applyBorder="1" applyAlignment="1" applyProtection="1">
      <protection locked="0"/>
    </xf>
    <xf numFmtId="0" fontId="0" fillId="0" borderId="1" xfId="0" applyBorder="1" applyAlignment="1" applyProtection="1">
      <alignment horizontal="center"/>
    </xf>
    <xf numFmtId="0" fontId="0" fillId="0" borderId="1" xfId="0" applyBorder="1" applyAlignment="1" applyProtection="1">
      <alignment horizontal="right" vertical="center"/>
    </xf>
    <xf numFmtId="0" fontId="0" fillId="0" borderId="1" xfId="0" applyBorder="1" applyAlignment="1" applyProtection="1">
      <alignment horizontal="center" wrapText="1"/>
    </xf>
    <xf numFmtId="0" fontId="14" fillId="0" borderId="1" xfId="3" applyFont="1" applyBorder="1">
      <alignment vertical="center"/>
    </xf>
    <xf numFmtId="0" fontId="0" fillId="0" borderId="1" xfId="0" applyBorder="1" applyAlignment="1" applyProtection="1">
      <alignment vertical="center"/>
    </xf>
    <xf numFmtId="0" fontId="0" fillId="0" borderId="0" xfId="0" applyBorder="1" applyProtection="1"/>
    <xf numFmtId="0" fontId="0" fillId="0" borderId="1" xfId="0" applyBorder="1" applyAlignment="1" applyProtection="1">
      <alignment horizontal="right"/>
    </xf>
    <xf numFmtId="0" fontId="0" fillId="0" borderId="1" xfId="0" applyFill="1" applyBorder="1" applyProtection="1"/>
    <xf numFmtId="0" fontId="0" fillId="0" borderId="0" xfId="0" applyFill="1" applyBorder="1" applyProtection="1"/>
    <xf numFmtId="0" fontId="0" fillId="3" borderId="1" xfId="0" applyFill="1" applyBorder="1" applyAlignment="1" applyProtection="1">
      <alignment vertical="center"/>
      <protection locked="0"/>
    </xf>
    <xf numFmtId="1" fontId="0" fillId="0" borderId="1" xfId="0" applyNumberFormat="1" applyBorder="1" applyAlignment="1" applyProtection="1">
      <alignment horizontal="right" vertical="center"/>
    </xf>
    <xf numFmtId="1" fontId="0" fillId="0" borderId="1" xfId="0" applyNumberFormat="1" applyBorder="1" applyAlignment="1" applyProtection="1">
      <alignment horizontal="right"/>
    </xf>
    <xf numFmtId="1" fontId="0" fillId="0" borderId="1" xfId="0" applyNumberFormat="1" applyBorder="1" applyProtection="1"/>
    <xf numFmtId="38" fontId="0" fillId="0" borderId="1" xfId="1" applyFont="1" applyBorder="1" applyAlignment="1">
      <alignment horizontal="right" vertical="center" wrapText="1"/>
    </xf>
    <xf numFmtId="0" fontId="0" fillId="0" borderId="0" xfId="0" applyBorder="1" applyAlignment="1" applyProtection="1">
      <alignment vertical="center"/>
    </xf>
    <xf numFmtId="38" fontId="0" fillId="0" borderId="1" xfId="1" applyFont="1" applyBorder="1" applyAlignment="1" applyProtection="1">
      <alignment horizontal="right" shrinkToFit="1"/>
    </xf>
    <xf numFmtId="0" fontId="0" fillId="0" borderId="1" xfId="0" applyBorder="1" applyAlignment="1" applyProtection="1">
      <alignment horizontal="center" shrinkToFit="1"/>
    </xf>
    <xf numFmtId="0" fontId="0" fillId="3" borderId="1" xfId="0" applyFill="1" applyBorder="1" applyAlignment="1" applyProtection="1">
      <alignment vertical="center" shrinkToFit="1"/>
      <protection locked="0"/>
    </xf>
    <xf numFmtId="9" fontId="0" fillId="2" borderId="1" xfId="0" applyNumberFormat="1" applyFill="1" applyBorder="1" applyAlignment="1" applyProtection="1">
      <alignment shrinkToFit="1"/>
      <protection locked="0"/>
    </xf>
    <xf numFmtId="38" fontId="0" fillId="0" borderId="1" xfId="1" applyFont="1" applyBorder="1" applyAlignment="1" applyProtection="1">
      <alignment shrinkToFit="1"/>
    </xf>
    <xf numFmtId="177" fontId="0" fillId="0" borderId="1" xfId="0" applyNumberFormat="1" applyBorder="1"/>
    <xf numFmtId="178" fontId="0" fillId="0" borderId="1" xfId="0" applyNumberFormat="1" applyBorder="1"/>
    <xf numFmtId="0" fontId="16" fillId="0" borderId="0" xfId="3" applyFont="1" applyAlignment="1" applyProtection="1">
      <alignment vertical="top"/>
    </xf>
    <xf numFmtId="0" fontId="14" fillId="0" borderId="0" xfId="3" applyFont="1" applyAlignment="1" applyProtection="1">
      <alignment vertical="center"/>
    </xf>
    <xf numFmtId="0" fontId="2" fillId="0" borderId="0" xfId="4">
      <alignment vertical="center"/>
    </xf>
    <xf numFmtId="0" fontId="17" fillId="4" borderId="1" xfId="3" applyFont="1" applyFill="1" applyBorder="1" applyAlignment="1" applyProtection="1">
      <alignment vertical="center"/>
    </xf>
    <xf numFmtId="0" fontId="18" fillId="4" borderId="1" xfId="3" applyFont="1" applyFill="1" applyBorder="1" applyAlignment="1" applyProtection="1">
      <alignment vertical="center" wrapText="1" shrinkToFit="1"/>
    </xf>
    <xf numFmtId="0" fontId="17" fillId="4" borderId="1" xfId="3" applyFont="1" applyFill="1" applyBorder="1" applyAlignment="1" applyProtection="1">
      <alignment vertical="center" wrapText="1" shrinkToFit="1"/>
    </xf>
    <xf numFmtId="0" fontId="17" fillId="4" borderId="1" xfId="3" applyFont="1" applyFill="1" applyBorder="1" applyAlignment="1" applyProtection="1">
      <alignment vertical="center" shrinkToFit="1"/>
    </xf>
    <xf numFmtId="0" fontId="17" fillId="4" borderId="1" xfId="3" applyFont="1" applyFill="1" applyBorder="1" applyAlignment="1" applyProtection="1">
      <alignment horizontal="center" vertical="center" wrapText="1"/>
    </xf>
    <xf numFmtId="179" fontId="17" fillId="4" borderId="1" xfId="3" applyNumberFormat="1" applyFont="1" applyFill="1" applyBorder="1" applyAlignment="1" applyProtection="1">
      <alignment horizontal="center" vertical="center" wrapText="1"/>
    </xf>
    <xf numFmtId="0" fontId="14" fillId="0" borderId="1" xfId="3" applyFont="1" applyBorder="1" applyAlignment="1" applyProtection="1">
      <alignment vertical="center" shrinkToFit="1"/>
    </xf>
    <xf numFmtId="180" fontId="0" fillId="0" borderId="1" xfId="5" applyNumberFormat="1" applyFont="1" applyFill="1" applyBorder="1" applyAlignment="1" applyProtection="1">
      <alignment horizontal="right" vertical="center" shrinkToFit="1"/>
      <protection locked="0"/>
    </xf>
    <xf numFmtId="0" fontId="0" fillId="0" borderId="1" xfId="5" applyNumberFormat="1" applyFont="1" applyFill="1" applyBorder="1" applyAlignment="1" applyProtection="1">
      <alignment horizontal="center" vertical="center" shrinkToFit="1"/>
    </xf>
    <xf numFmtId="181" fontId="0" fillId="0" borderId="1" xfId="5" applyNumberFormat="1" applyFont="1" applyFill="1" applyBorder="1" applyAlignment="1" applyProtection="1">
      <alignment vertical="center" shrinkToFit="1"/>
      <protection locked="0"/>
    </xf>
    <xf numFmtId="0" fontId="7" fillId="0" borderId="1" xfId="5" applyNumberFormat="1" applyFont="1" applyBorder="1" applyAlignment="1" applyProtection="1">
      <alignment horizontal="center" vertical="center" wrapText="1" shrinkToFit="1"/>
    </xf>
    <xf numFmtId="179" fontId="14" fillId="0" borderId="1" xfId="5" applyNumberFormat="1" applyFont="1" applyBorder="1" applyAlignment="1" applyProtection="1">
      <alignment horizontal="center" vertical="center" wrapText="1" shrinkToFit="1"/>
    </xf>
    <xf numFmtId="182" fontId="0" fillId="0" borderId="1" xfId="5" applyNumberFormat="1" applyFont="1" applyFill="1" applyBorder="1" applyAlignment="1" applyProtection="1">
      <alignment horizontal="right" vertical="center" shrinkToFit="1"/>
      <protection locked="0"/>
    </xf>
    <xf numFmtId="0" fontId="14" fillId="0" borderId="1" xfId="3" applyFont="1" applyFill="1" applyBorder="1" applyAlignment="1" applyProtection="1">
      <alignment vertical="center" shrinkToFit="1"/>
    </xf>
    <xf numFmtId="0" fontId="14" fillId="0" borderId="1" xfId="3" applyFont="1" applyBorder="1" applyAlignment="1" applyProtection="1">
      <alignment vertical="center"/>
    </xf>
    <xf numFmtId="183" fontId="0" fillId="0" borderId="1" xfId="5" applyNumberFormat="1" applyFont="1" applyFill="1" applyBorder="1" applyAlignment="1" applyProtection="1">
      <alignment vertical="center" shrinkToFit="1"/>
      <protection locked="0"/>
    </xf>
    <xf numFmtId="0" fontId="14" fillId="0" borderId="1" xfId="0" applyFont="1" applyFill="1" applyBorder="1" applyAlignment="1" applyProtection="1">
      <alignment vertical="center" wrapText="1" shrinkToFit="1"/>
      <protection locked="0"/>
    </xf>
    <xf numFmtId="184" fontId="0" fillId="0" borderId="1" xfId="5" applyNumberFormat="1" applyFont="1" applyFill="1" applyBorder="1" applyAlignment="1" applyProtection="1">
      <alignment vertical="center" shrinkToFit="1"/>
    </xf>
    <xf numFmtId="179" fontId="2" fillId="0" borderId="0" xfId="4" applyNumberFormat="1">
      <alignment vertical="center"/>
    </xf>
    <xf numFmtId="177" fontId="0" fillId="0" borderId="0" xfId="2" applyNumberFormat="1" applyFont="1" applyAlignment="1"/>
    <xf numFmtId="0" fontId="20" fillId="0" borderId="0" xfId="0" applyFont="1"/>
    <xf numFmtId="0" fontId="21" fillId="0" borderId="0" xfId="0" applyFont="1"/>
    <xf numFmtId="0" fontId="21" fillId="0" borderId="0" xfId="0" applyFont="1" applyProtection="1"/>
    <xf numFmtId="179" fontId="0" fillId="0" borderId="1" xfId="0" applyNumberFormat="1" applyBorder="1"/>
    <xf numFmtId="0" fontId="0" fillId="0" borderId="0" xfId="0" applyFill="1" applyBorder="1" applyAlignment="1">
      <alignment horizontal="left" vertical="top"/>
    </xf>
    <xf numFmtId="38" fontId="0" fillId="0" borderId="10" xfId="1" applyFont="1" applyBorder="1" applyAlignment="1" applyProtection="1">
      <alignment horizontal="right" vertical="center"/>
    </xf>
    <xf numFmtId="0" fontId="23" fillId="0" borderId="0" xfId="0" applyFont="1"/>
    <xf numFmtId="0" fontId="0" fillId="0" borderId="0" xfId="0" applyFill="1" applyBorder="1" applyAlignment="1" applyProtection="1">
      <alignment vertical="center"/>
      <protection locked="0"/>
    </xf>
    <xf numFmtId="0" fontId="0" fillId="0" borderId="0" xfId="0" applyFill="1" applyProtection="1"/>
    <xf numFmtId="0" fontId="0" fillId="0" borderId="0" xfId="0" applyFill="1" applyBorder="1" applyAlignment="1" applyProtection="1">
      <alignment horizontal="right"/>
    </xf>
    <xf numFmtId="0" fontId="21" fillId="0" borderId="0" xfId="0" applyFont="1" applyFill="1" applyProtection="1"/>
    <xf numFmtId="0" fontId="23" fillId="0" borderId="0" xfId="0" applyFont="1" applyFill="1" applyProtection="1"/>
    <xf numFmtId="0" fontId="24" fillId="0" borderId="1" xfId="0" applyFont="1" applyBorder="1" applyProtection="1"/>
    <xf numFmtId="38" fontId="0" fillId="0" borderId="1" xfId="1" applyFont="1" applyFill="1" applyBorder="1" applyAlignment="1" applyProtection="1">
      <protection locked="0"/>
    </xf>
    <xf numFmtId="185" fontId="0" fillId="0" borderId="1" xfId="0" applyNumberFormat="1" applyBorder="1" applyAlignment="1">
      <alignment horizontal="right"/>
    </xf>
    <xf numFmtId="185" fontId="0" fillId="0" borderId="1" xfId="0" applyNumberFormat="1" applyBorder="1"/>
    <xf numFmtId="1" fontId="0" fillId="0" borderId="1" xfId="0" applyNumberFormat="1" applyBorder="1" applyAlignment="1">
      <alignment horizontal="right"/>
    </xf>
    <xf numFmtId="1" fontId="0" fillId="0" borderId="1" xfId="0" applyNumberFormat="1" applyBorder="1"/>
    <xf numFmtId="185" fontId="0" fillId="0" borderId="10" xfId="0" applyNumberFormat="1" applyBorder="1" applyAlignment="1" applyProtection="1">
      <alignment horizontal="right" vertical="center"/>
    </xf>
    <xf numFmtId="185" fontId="0" fillId="0" borderId="1" xfId="0" applyNumberFormat="1" applyBorder="1" applyProtection="1"/>
    <xf numFmtId="185" fontId="0" fillId="0" borderId="1" xfId="0" applyNumberFormat="1" applyBorder="1" applyAlignment="1" applyProtection="1">
      <alignment horizontal="right" shrinkToFit="1"/>
    </xf>
    <xf numFmtId="185" fontId="0" fillId="0" borderId="1" xfId="0" applyNumberFormat="1" applyBorder="1" applyAlignment="1" applyProtection="1">
      <alignment shrinkToFit="1"/>
    </xf>
    <xf numFmtId="185" fontId="0" fillId="0" borderId="1" xfId="0" applyNumberFormat="1" applyBorder="1" applyAlignment="1" applyProtection="1">
      <alignment horizontal="right" vertical="center"/>
    </xf>
    <xf numFmtId="38" fontId="0" fillId="0" borderId="1" xfId="1" applyFont="1" applyBorder="1" applyAlignment="1" applyProtection="1">
      <alignment horizontal="right"/>
    </xf>
    <xf numFmtId="185" fontId="0" fillId="0" borderId="1" xfId="0" applyNumberFormat="1" applyBorder="1" applyAlignment="1" applyProtection="1">
      <alignment horizontal="right"/>
    </xf>
    <xf numFmtId="38" fontId="0" fillId="2" borderId="1" xfId="1" applyFont="1" applyFill="1" applyBorder="1" applyAlignment="1" applyProtection="1">
      <alignment horizontal="right"/>
      <protection locked="0"/>
    </xf>
    <xf numFmtId="38" fontId="0" fillId="0" borderId="1" xfId="1" applyFont="1" applyBorder="1" applyAlignment="1">
      <alignment horizontal="right"/>
    </xf>
    <xf numFmtId="0" fontId="0" fillId="2" borderId="1" xfId="0" applyFill="1" applyBorder="1" applyAlignment="1" applyProtection="1">
      <alignment horizontal="right"/>
      <protection locked="0"/>
    </xf>
    <xf numFmtId="185" fontId="0" fillId="0" borderId="1" xfId="0" applyNumberFormat="1" applyBorder="1" applyAlignment="1" applyProtection="1">
      <alignment vertical="center"/>
    </xf>
    <xf numFmtId="185" fontId="0" fillId="0" borderId="1" xfId="0" applyNumberFormat="1" applyBorder="1" applyAlignment="1">
      <alignment vertical="center"/>
    </xf>
    <xf numFmtId="0" fontId="0" fillId="0" borderId="11" xfId="0" applyBorder="1"/>
    <xf numFmtId="0" fontId="0" fillId="0" borderId="11" xfId="0" applyBorder="1" applyAlignment="1">
      <alignment horizontal="right"/>
    </xf>
    <xf numFmtId="38" fontId="0" fillId="0" borderId="11" xfId="1" applyFont="1" applyBorder="1" applyAlignment="1">
      <alignment horizontal="right"/>
    </xf>
    <xf numFmtId="0" fontId="0" fillId="0" borderId="11" xfId="0" applyBorder="1" applyAlignment="1">
      <alignment horizontal="center" wrapText="1"/>
    </xf>
    <xf numFmtId="0" fontId="0" fillId="0" borderId="11" xfId="0" applyBorder="1" applyAlignment="1">
      <alignment horizontal="center"/>
    </xf>
    <xf numFmtId="0" fontId="0" fillId="0" borderId="0" xfId="0" applyAlignment="1">
      <alignment horizontal="center" vertical="center"/>
    </xf>
    <xf numFmtId="0" fontId="0" fillId="6" borderId="1" xfId="0" applyFill="1" applyBorder="1" applyAlignment="1">
      <alignment horizontal="center" vertical="center"/>
    </xf>
    <xf numFmtId="187" fontId="0" fillId="0" borderId="0" xfId="0" applyNumberFormat="1"/>
    <xf numFmtId="187" fontId="0" fillId="0" borderId="1" xfId="0" applyNumberFormat="1" applyBorder="1"/>
    <xf numFmtId="188" fontId="0" fillId="6" borderId="1" xfId="0" applyNumberFormat="1" applyFill="1" applyBorder="1" applyAlignment="1">
      <alignment horizontal="center" vertical="center"/>
    </xf>
    <xf numFmtId="188" fontId="0" fillId="0" borderId="0" xfId="0" applyNumberFormat="1" applyAlignment="1">
      <alignment horizontal="center"/>
    </xf>
    <xf numFmtId="188" fontId="0" fillId="0" borderId="1" xfId="0" applyNumberFormat="1" applyBorder="1"/>
    <xf numFmtId="188" fontId="0" fillId="0" borderId="0" xfId="0" applyNumberFormat="1"/>
    <xf numFmtId="188" fontId="0" fillId="0" borderId="8" xfId="0" applyNumberFormat="1" applyBorder="1"/>
    <xf numFmtId="178" fontId="0" fillId="0" borderId="1" xfId="1" applyNumberFormat="1" applyFont="1" applyBorder="1" applyAlignment="1"/>
    <xf numFmtId="189" fontId="0" fillId="0" borderId="1" xfId="1" applyNumberFormat="1" applyFont="1" applyBorder="1" applyAlignment="1" applyProtection="1">
      <alignment horizontal="right" vertical="center"/>
    </xf>
    <xf numFmtId="189" fontId="0" fillId="0" borderId="1" xfId="1" applyNumberFormat="1" applyFont="1" applyBorder="1" applyAlignment="1" applyProtection="1"/>
    <xf numFmtId="190" fontId="0" fillId="0" borderId="1" xfId="1" applyNumberFormat="1" applyFont="1" applyBorder="1" applyAlignment="1" applyProtection="1"/>
    <xf numFmtId="190" fontId="0" fillId="0" borderId="1" xfId="1" applyNumberFormat="1" applyFont="1" applyBorder="1" applyAlignment="1" applyProtection="1">
      <alignment horizontal="right" vertical="center"/>
    </xf>
    <xf numFmtId="189" fontId="0" fillId="0" borderId="1" xfId="0" applyNumberFormat="1" applyBorder="1" applyAlignment="1" applyProtection="1">
      <alignment horizontal="right" vertical="center"/>
    </xf>
    <xf numFmtId="189" fontId="0" fillId="0" borderId="1" xfId="0" applyNumberFormat="1" applyBorder="1" applyAlignment="1">
      <alignment vertical="center"/>
    </xf>
    <xf numFmtId="190" fontId="0" fillId="0" borderId="1" xfId="1" applyNumberFormat="1" applyFont="1" applyBorder="1" applyAlignment="1">
      <alignment vertical="center"/>
    </xf>
    <xf numFmtId="190" fontId="0" fillId="0" borderId="1" xfId="1" applyNumberFormat="1" applyFont="1" applyBorder="1" applyAlignment="1">
      <alignment vertical="center" wrapText="1"/>
    </xf>
    <xf numFmtId="189" fontId="0" fillId="0" borderId="1" xfId="1" applyNumberFormat="1" applyFont="1" applyBorder="1" applyAlignment="1" applyProtection="1">
      <alignment vertical="center"/>
    </xf>
    <xf numFmtId="180" fontId="0" fillId="2" borderId="1" xfId="0" applyNumberFormat="1" applyFill="1" applyBorder="1" applyProtection="1">
      <protection locked="0"/>
    </xf>
    <xf numFmtId="189" fontId="0" fillId="2" borderId="1" xfId="0" applyNumberFormat="1" applyFill="1" applyBorder="1" applyProtection="1">
      <protection locked="0"/>
    </xf>
    <xf numFmtId="189" fontId="0" fillId="0" borderId="0" xfId="0" applyNumberFormat="1" applyProtection="1"/>
    <xf numFmtId="189" fontId="0" fillId="2" borderId="1" xfId="1" applyNumberFormat="1" applyFont="1" applyFill="1" applyBorder="1" applyAlignment="1" applyProtection="1">
      <protection locked="0"/>
    </xf>
    <xf numFmtId="0" fontId="0" fillId="0" borderId="11" xfId="0" applyBorder="1" applyAlignment="1" applyProtection="1">
      <alignment shrinkToFit="1"/>
    </xf>
    <xf numFmtId="38" fontId="0" fillId="0" borderId="11" xfId="1" applyFont="1" applyBorder="1" applyAlignment="1" applyProtection="1">
      <alignment horizontal="right" shrinkToFit="1"/>
    </xf>
    <xf numFmtId="0" fontId="0" fillId="0" borderId="12" xfId="0" applyBorder="1" applyProtection="1"/>
    <xf numFmtId="0" fontId="0" fillId="0" borderId="11" xfId="0" applyBorder="1" applyAlignment="1" applyProtection="1">
      <alignment horizontal="center" shrinkToFit="1"/>
    </xf>
    <xf numFmtId="0" fontId="0" fillId="0" borderId="0" xfId="0" applyAlignment="1">
      <alignment wrapText="1"/>
    </xf>
    <xf numFmtId="0" fontId="0" fillId="3" borderId="1" xfId="0" applyFill="1" applyBorder="1" applyAlignment="1" applyProtection="1">
      <alignment horizontal="center"/>
      <protection locked="0"/>
    </xf>
    <xf numFmtId="191" fontId="0" fillId="0" borderId="1" xfId="0" applyNumberFormat="1" applyBorder="1" applyAlignment="1" applyProtection="1">
      <alignment horizontal="right" vertical="center"/>
    </xf>
    <xf numFmtId="191" fontId="0" fillId="2" borderId="1" xfId="0" applyNumberFormat="1" applyFill="1" applyBorder="1" applyProtection="1">
      <protection locked="0"/>
    </xf>
    <xf numFmtId="192" fontId="0" fillId="2" borderId="1" xfId="0" applyNumberFormat="1" applyFill="1" applyBorder="1" applyProtection="1">
      <protection locked="0"/>
    </xf>
    <xf numFmtId="0" fontId="24" fillId="0" borderId="0" xfId="0" applyFont="1" applyProtection="1"/>
    <xf numFmtId="0" fontId="0" fillId="0" borderId="0" xfId="0" applyAlignment="1">
      <alignment horizontal="center"/>
    </xf>
    <xf numFmtId="193" fontId="0" fillId="0" borderId="0" xfId="0" applyNumberFormat="1"/>
    <xf numFmtId="186" fontId="0" fillId="0" borderId="0" xfId="0" applyNumberFormat="1"/>
    <xf numFmtId="176" fontId="0" fillId="0" borderId="0" xfId="0" applyNumberFormat="1"/>
    <xf numFmtId="0" fontId="0" fillId="0" borderId="0" xfId="0" applyAlignment="1" applyProtection="1">
      <alignment horizontal="center"/>
    </xf>
    <xf numFmtId="38" fontId="0" fillId="0" borderId="11" xfId="1" applyFont="1" applyFill="1" applyBorder="1" applyAlignment="1" applyProtection="1">
      <alignment horizontal="right" vertical="center"/>
    </xf>
    <xf numFmtId="0" fontId="0" fillId="0" borderId="11" xfId="0" applyBorder="1" applyAlignment="1" applyProtection="1">
      <alignment horizontal="right" vertical="center"/>
    </xf>
    <xf numFmtId="38" fontId="0" fillId="0" borderId="11" xfId="1" applyFont="1" applyBorder="1" applyAlignment="1" applyProtection="1">
      <alignment horizontal="right" vertical="center"/>
    </xf>
    <xf numFmtId="177" fontId="0" fillId="0" borderId="0" xfId="0" applyNumberFormat="1"/>
    <xf numFmtId="0" fontId="0" fillId="0" borderId="1" xfId="0" applyNumberFormat="1" applyFill="1" applyBorder="1"/>
    <xf numFmtId="0" fontId="0" fillId="0" borderId="1" xfId="0" applyBorder="1" applyAlignment="1" applyProtection="1">
      <alignment horizontal="center"/>
    </xf>
    <xf numFmtId="0" fontId="0" fillId="6" borderId="1" xfId="0" applyFill="1" applyBorder="1" applyAlignment="1">
      <alignment horizontal="center" vertical="center"/>
    </xf>
    <xf numFmtId="0" fontId="0" fillId="6" borderId="1" xfId="0" applyFill="1" applyBorder="1" applyAlignment="1">
      <alignment horizontal="center"/>
    </xf>
    <xf numFmtId="0" fontId="0" fillId="6" borderId="1" xfId="0" applyFill="1" applyBorder="1" applyAlignment="1">
      <alignment horizontal="center" vertical="center"/>
    </xf>
    <xf numFmtId="0" fontId="0" fillId="6" borderId="1" xfId="0" applyFill="1" applyBorder="1" applyAlignment="1">
      <alignment horizontal="center"/>
    </xf>
    <xf numFmtId="9" fontId="0" fillId="0" borderId="1" xfId="2" applyFont="1" applyFill="1" applyBorder="1" applyAlignment="1"/>
    <xf numFmtId="38" fontId="0" fillId="0" borderId="0" xfId="1" applyFont="1" applyFill="1" applyBorder="1" applyAlignment="1"/>
    <xf numFmtId="0" fontId="0" fillId="0" borderId="11" xfId="0" applyFill="1" applyBorder="1"/>
    <xf numFmtId="0" fontId="0" fillId="0" borderId="1" xfId="0" applyFill="1" applyBorder="1" applyAlignment="1">
      <alignment horizontal="center" vertical="top"/>
    </xf>
    <xf numFmtId="192" fontId="0" fillId="0" borderId="1" xfId="0" applyNumberFormat="1" applyBorder="1" applyAlignment="1" applyProtection="1">
      <alignment horizontal="right" vertical="center"/>
    </xf>
    <xf numFmtId="0" fontId="0" fillId="0" borderId="1" xfId="0" applyBorder="1" applyAlignment="1"/>
    <xf numFmtId="194" fontId="0" fillId="0" borderId="1" xfId="0" applyNumberFormat="1" applyBorder="1" applyAlignment="1" applyProtection="1">
      <alignment horizontal="right" vertical="center"/>
    </xf>
    <xf numFmtId="194" fontId="0" fillId="2" borderId="1" xfId="0" applyNumberFormat="1" applyFill="1" applyBorder="1" applyProtection="1">
      <protection locked="0"/>
    </xf>
    <xf numFmtId="194" fontId="0" fillId="0" borderId="0" xfId="0" applyNumberFormat="1" applyProtection="1"/>
    <xf numFmtId="189" fontId="0" fillId="7" borderId="1" xfId="1" applyNumberFormat="1" applyFont="1" applyFill="1" applyBorder="1" applyAlignment="1" applyProtection="1">
      <alignment horizontal="right" vertical="center"/>
    </xf>
    <xf numFmtId="0" fontId="0" fillId="6" borderId="1" xfId="0" applyFill="1" applyBorder="1"/>
    <xf numFmtId="0" fontId="0" fillId="6" borderId="1" xfId="0" applyFill="1" applyBorder="1" applyAlignment="1">
      <alignment horizontal="centerContinuous"/>
    </xf>
    <xf numFmtId="180" fontId="0" fillId="6" borderId="1" xfId="0" applyNumberFormat="1" applyFill="1" applyBorder="1" applyAlignment="1">
      <alignment horizontal="center"/>
    </xf>
    <xf numFmtId="0" fontId="0" fillId="6" borderId="1" xfId="0" applyFill="1" applyBorder="1" applyAlignment="1">
      <alignment horizontal="center" wrapText="1"/>
    </xf>
    <xf numFmtId="0" fontId="0" fillId="6" borderId="11" xfId="0" applyFill="1" applyBorder="1" applyAlignment="1">
      <alignment horizontal="center"/>
    </xf>
    <xf numFmtId="0" fontId="26" fillId="5" borderId="1" xfId="0" applyFont="1" applyFill="1" applyBorder="1" applyAlignment="1">
      <alignment horizontal="right"/>
    </xf>
    <xf numFmtId="38" fontId="26" fillId="0" borderId="1" xfId="1" applyFont="1" applyFill="1" applyBorder="1" applyAlignment="1">
      <alignment horizontal="right"/>
    </xf>
    <xf numFmtId="185" fontId="26" fillId="0" borderId="1" xfId="0" applyNumberFormat="1" applyFont="1" applyFill="1" applyBorder="1" applyAlignment="1">
      <alignment horizontal="right" wrapText="1"/>
    </xf>
    <xf numFmtId="0" fontId="26" fillId="5" borderId="1" xfId="0" applyFont="1" applyFill="1" applyBorder="1"/>
    <xf numFmtId="180" fontId="26" fillId="5" borderId="1" xfId="0" applyNumberFormat="1" applyFont="1" applyFill="1" applyBorder="1" applyAlignment="1">
      <alignment horizontal="right"/>
    </xf>
    <xf numFmtId="0" fontId="26" fillId="5" borderId="1" xfId="0" applyFont="1" applyFill="1" applyBorder="1" applyAlignment="1">
      <alignment horizontal="center" wrapText="1"/>
    </xf>
    <xf numFmtId="0" fontId="26" fillId="5" borderId="1" xfId="0" applyFont="1" applyFill="1" applyBorder="1" applyAlignment="1">
      <alignment horizontal="center"/>
    </xf>
    <xf numFmtId="185" fontId="0" fillId="7" borderId="1" xfId="0" applyNumberFormat="1" applyFill="1" applyBorder="1" applyAlignment="1">
      <alignment vertical="center" wrapText="1"/>
    </xf>
    <xf numFmtId="9" fontId="0" fillId="6" borderId="1" xfId="2" applyFont="1" applyFill="1" applyBorder="1" applyAlignment="1">
      <alignment horizontal="center" vertical="center"/>
    </xf>
    <xf numFmtId="0" fontId="0" fillId="6" borderId="1" xfId="0" applyFill="1" applyBorder="1" applyAlignment="1">
      <alignment horizontal="center" vertical="center" wrapText="1"/>
    </xf>
    <xf numFmtId="0" fontId="0" fillId="6" borderId="1" xfId="0" applyFill="1" applyBorder="1" applyAlignment="1" applyProtection="1">
      <alignment horizontal="center"/>
    </xf>
    <xf numFmtId="195" fontId="26" fillId="0" borderId="1" xfId="0" applyNumberFormat="1" applyFont="1" applyFill="1" applyBorder="1" applyAlignment="1">
      <alignment horizontal="right" wrapText="1"/>
    </xf>
    <xf numFmtId="38" fontId="0" fillId="0" borderId="1" xfId="0" applyNumberFormat="1" applyBorder="1" applyAlignment="1">
      <alignment vertical="center"/>
    </xf>
    <xf numFmtId="38" fontId="0" fillId="0" borderId="1" xfId="0" applyNumberFormat="1" applyBorder="1" applyAlignment="1">
      <alignment vertical="center" wrapText="1"/>
    </xf>
    <xf numFmtId="0" fontId="22" fillId="5" borderId="1" xfId="0" applyFont="1" applyFill="1" applyBorder="1" applyAlignment="1" applyProtection="1">
      <alignment horizontal="left"/>
    </xf>
    <xf numFmtId="0" fontId="26" fillId="5" borderId="1" xfId="0" applyFont="1" applyFill="1" applyBorder="1" applyAlignment="1" applyProtection="1">
      <alignment horizontal="right"/>
    </xf>
    <xf numFmtId="9" fontId="26" fillId="0" borderId="1" xfId="0" applyNumberFormat="1" applyFont="1" applyFill="1" applyBorder="1" applyAlignment="1" applyProtection="1">
      <alignment horizontal="right"/>
    </xf>
    <xf numFmtId="191" fontId="26" fillId="5" borderId="1" xfId="0" applyNumberFormat="1" applyFont="1" applyFill="1" applyBorder="1" applyAlignment="1" applyProtection="1">
      <alignment horizontal="right"/>
    </xf>
    <xf numFmtId="38" fontId="26" fillId="5" borderId="1" xfId="1" applyFont="1" applyFill="1" applyBorder="1" applyAlignment="1" applyProtection="1">
      <alignment horizontal="right"/>
    </xf>
    <xf numFmtId="38" fontId="26" fillId="0" borderId="1" xfId="1" applyFont="1" applyFill="1" applyBorder="1" applyAlignment="1" applyProtection="1">
      <alignment horizontal="right"/>
    </xf>
    <xf numFmtId="185" fontId="26" fillId="0" borderId="1" xfId="0" applyNumberFormat="1" applyFont="1" applyFill="1" applyBorder="1" applyAlignment="1" applyProtection="1">
      <alignment horizontal="right" wrapText="1"/>
    </xf>
    <xf numFmtId="0" fontId="0" fillId="6" borderId="1" xfId="0" applyFill="1" applyBorder="1" applyAlignment="1" applyProtection="1">
      <alignment horizontal="center" vertical="center"/>
    </xf>
    <xf numFmtId="0" fontId="0" fillId="6" borderId="1" xfId="0" applyFill="1" applyBorder="1" applyProtection="1"/>
    <xf numFmtId="0" fontId="0" fillId="6" borderId="1" xfId="0" applyFill="1" applyBorder="1" applyAlignment="1" applyProtection="1">
      <alignment horizontal="center" wrapText="1"/>
    </xf>
    <xf numFmtId="0" fontId="0" fillId="6" borderId="0" xfId="0" applyFill="1" applyProtection="1"/>
    <xf numFmtId="0" fontId="0" fillId="6" borderId="1" xfId="0" applyFill="1" applyBorder="1" applyAlignment="1" applyProtection="1">
      <alignment vertical="center"/>
    </xf>
    <xf numFmtId="0" fontId="0" fillId="6" borderId="2" xfId="0" applyFill="1" applyBorder="1" applyAlignment="1" applyProtection="1"/>
    <xf numFmtId="0" fontId="0" fillId="6" borderId="5" xfId="0" applyFill="1" applyBorder="1" applyAlignment="1" applyProtection="1"/>
    <xf numFmtId="0" fontId="0" fillId="6" borderId="3" xfId="0" applyFill="1" applyBorder="1" applyAlignment="1" applyProtection="1"/>
    <xf numFmtId="0" fontId="0" fillId="6" borderId="2" xfId="0" applyFill="1" applyBorder="1" applyAlignment="1" applyProtection="1">
      <alignment horizontal="center"/>
    </xf>
    <xf numFmtId="196" fontId="26" fillId="5" borderId="1" xfId="0" applyNumberFormat="1" applyFont="1" applyFill="1" applyBorder="1" applyAlignment="1" applyProtection="1">
      <alignment horizontal="right"/>
    </xf>
    <xf numFmtId="196" fontId="0" fillId="0" borderId="1" xfId="0" applyNumberFormat="1" applyBorder="1" applyAlignment="1" applyProtection="1">
      <alignment horizontal="right" vertical="center"/>
    </xf>
    <xf numFmtId="196" fontId="0" fillId="2" borderId="1" xfId="0" applyNumberFormat="1" applyFill="1" applyBorder="1" applyProtection="1">
      <protection locked="0"/>
    </xf>
    <xf numFmtId="196" fontId="26" fillId="5" borderId="1" xfId="1" applyNumberFormat="1" applyFont="1" applyFill="1" applyBorder="1" applyAlignment="1" applyProtection="1">
      <alignment horizontal="right"/>
    </xf>
    <xf numFmtId="196" fontId="0" fillId="0" borderId="1" xfId="1" applyNumberFormat="1" applyFont="1" applyBorder="1" applyAlignment="1" applyProtection="1">
      <alignment horizontal="right" vertical="center"/>
    </xf>
    <xf numFmtId="196" fontId="0" fillId="2" borderId="1" xfId="1" applyNumberFormat="1" applyFont="1" applyFill="1" applyBorder="1" applyAlignment="1" applyProtection="1">
      <alignment horizontal="right"/>
      <protection locked="0"/>
    </xf>
    <xf numFmtId="196" fontId="0" fillId="0" borderId="1" xfId="0" applyNumberFormat="1" applyBorder="1" applyAlignment="1">
      <alignment horizontal="right"/>
    </xf>
    <xf numFmtId="196" fontId="0" fillId="2" borderId="1" xfId="1" applyNumberFormat="1" applyFont="1" applyFill="1" applyBorder="1" applyAlignment="1" applyProtection="1">
      <protection locked="0"/>
    </xf>
    <xf numFmtId="0" fontId="0" fillId="0" borderId="0" xfId="0" applyBorder="1" applyAlignment="1" applyProtection="1">
      <alignment horizontal="center"/>
    </xf>
    <xf numFmtId="0" fontId="0" fillId="0" borderId="0" xfId="0" applyFill="1" applyBorder="1" applyAlignment="1" applyProtection="1">
      <alignment shrinkToFit="1"/>
    </xf>
    <xf numFmtId="0" fontId="0" fillId="6" borderId="1" xfId="0" applyFill="1" applyBorder="1" applyAlignment="1" applyProtection="1">
      <alignment horizontal="center"/>
    </xf>
    <xf numFmtId="0" fontId="0" fillId="6" borderId="1" xfId="0" applyFill="1" applyBorder="1" applyAlignment="1" applyProtection="1">
      <alignment horizontal="right"/>
    </xf>
    <xf numFmtId="0" fontId="0" fillId="6" borderId="3" xfId="0" applyFill="1" applyBorder="1" applyProtection="1"/>
    <xf numFmtId="0" fontId="0" fillId="6" borderId="4" xfId="0" applyFill="1" applyBorder="1" applyAlignment="1">
      <alignment vertical="center"/>
    </xf>
    <xf numFmtId="0" fontId="0" fillId="6" borderId="6" xfId="0" applyFill="1" applyBorder="1" applyAlignment="1">
      <alignment vertical="center"/>
    </xf>
    <xf numFmtId="0" fontId="0" fillId="6" borderId="5" xfId="0" applyFill="1" applyBorder="1" applyAlignment="1">
      <alignment vertical="center"/>
    </xf>
    <xf numFmtId="0" fontId="0" fillId="6" borderId="4" xfId="0" applyFill="1" applyBorder="1" applyAlignment="1"/>
    <xf numFmtId="0" fontId="0" fillId="6" borderId="5" xfId="0" applyFill="1" applyBorder="1" applyAlignment="1"/>
    <xf numFmtId="0" fontId="0" fillId="6" borderId="7" xfId="0" applyFill="1" applyBorder="1"/>
    <xf numFmtId="0" fontId="0" fillId="6" borderId="8" xfId="0" applyFill="1" applyBorder="1" applyProtection="1"/>
    <xf numFmtId="0" fontId="0" fillId="6" borderId="8" xfId="0" applyFill="1" applyBorder="1"/>
    <xf numFmtId="0" fontId="0" fillId="6" borderId="9" xfId="0" applyFill="1" applyBorder="1" applyProtection="1"/>
    <xf numFmtId="0" fontId="0" fillId="6" borderId="2" xfId="0" applyFill="1" applyBorder="1" applyAlignment="1"/>
    <xf numFmtId="0" fontId="0" fillId="6" borderId="2" xfId="0" applyFill="1" applyBorder="1"/>
    <xf numFmtId="0" fontId="0" fillId="6" borderId="1" xfId="0" applyFill="1" applyBorder="1" applyAlignment="1" applyProtection="1">
      <alignment horizontal="left" vertical="top" wrapText="1"/>
    </xf>
    <xf numFmtId="0" fontId="0" fillId="6" borderId="1" xfId="0" applyFill="1" applyBorder="1" applyAlignment="1" applyProtection="1">
      <alignment horizontal="left"/>
    </xf>
    <xf numFmtId="0" fontId="0" fillId="6" borderId="1" xfId="0" applyFill="1" applyBorder="1" applyAlignment="1" applyProtection="1">
      <alignment horizontal="right" wrapText="1"/>
    </xf>
    <xf numFmtId="0" fontId="0" fillId="6" borderId="2" xfId="0" applyFill="1" applyBorder="1" applyAlignment="1">
      <alignment vertical="center"/>
    </xf>
    <xf numFmtId="0" fontId="0" fillId="6" borderId="6" xfId="0" applyFill="1" applyBorder="1" applyAlignment="1"/>
    <xf numFmtId="0" fontId="0" fillId="6" borderId="5" xfId="0" applyFill="1" applyBorder="1"/>
    <xf numFmtId="0" fontId="0" fillId="0" borderId="0" xfId="0" applyFill="1" applyBorder="1" applyAlignment="1">
      <alignment horizontal="center" vertical="top"/>
    </xf>
    <xf numFmtId="0" fontId="26" fillId="5" borderId="5" xfId="0" applyFont="1" applyFill="1" applyBorder="1"/>
    <xf numFmtId="177" fontId="26" fillId="0" borderId="1" xfId="0" applyNumberFormat="1" applyFont="1" applyFill="1" applyBorder="1"/>
    <xf numFmtId="185" fontId="26" fillId="0" borderId="1" xfId="0" applyNumberFormat="1" applyFont="1" applyFill="1" applyBorder="1"/>
    <xf numFmtId="9" fontId="26" fillId="5" borderId="1" xfId="0" applyNumberFormat="1" applyFont="1" applyFill="1" applyBorder="1"/>
    <xf numFmtId="0" fontId="26" fillId="5" borderId="1" xfId="0" applyFont="1" applyFill="1" applyBorder="1" applyAlignment="1" applyProtection="1">
      <alignment horizontal="center" wrapText="1"/>
    </xf>
    <xf numFmtId="9" fontId="26" fillId="0" borderId="1" xfId="0" applyNumberFormat="1" applyFont="1" applyFill="1" applyBorder="1"/>
    <xf numFmtId="0" fontId="26" fillId="0" borderId="5" xfId="0" applyFont="1" applyFill="1" applyBorder="1"/>
    <xf numFmtId="189" fontId="26" fillId="0" borderId="1" xfId="0" applyNumberFormat="1" applyFont="1" applyFill="1" applyBorder="1" applyAlignment="1" applyProtection="1">
      <alignment horizontal="right" wrapText="1"/>
    </xf>
    <xf numFmtId="190" fontId="26" fillId="0" borderId="1" xfId="1" applyNumberFormat="1" applyFont="1" applyFill="1" applyBorder="1" applyAlignment="1" applyProtection="1">
      <alignment horizontal="right"/>
    </xf>
    <xf numFmtId="190" fontId="0" fillId="0" borderId="10" xfId="1" applyNumberFormat="1" applyFont="1" applyBorder="1" applyAlignment="1" applyProtection="1">
      <alignment horizontal="right" vertical="center"/>
    </xf>
    <xf numFmtId="190" fontId="0" fillId="0" borderId="1" xfId="1" applyNumberFormat="1" applyFont="1" applyBorder="1" applyAlignment="1"/>
    <xf numFmtId="9" fontId="0" fillId="0" borderId="1" xfId="2" applyFont="1" applyBorder="1" applyAlignment="1">
      <alignment horizontal="right"/>
    </xf>
    <xf numFmtId="189" fontId="0" fillId="0" borderId="1" xfId="1" applyNumberFormat="1" applyFont="1" applyBorder="1" applyAlignment="1" applyProtection="1">
      <alignment horizontal="right"/>
    </xf>
    <xf numFmtId="185" fontId="0" fillId="7" borderId="1" xfId="0" applyNumberFormat="1" applyFill="1" applyBorder="1" applyAlignment="1" applyProtection="1">
      <alignment horizontal="right" vertical="center"/>
    </xf>
    <xf numFmtId="0" fontId="22" fillId="5" borderId="1" xfId="0" applyFont="1" applyFill="1" applyBorder="1" applyAlignment="1">
      <alignment wrapText="1"/>
    </xf>
    <xf numFmtId="0" fontId="26" fillId="5" borderId="1" xfId="0" applyFont="1" applyFill="1" applyBorder="1" applyAlignment="1">
      <alignment horizontal="right" wrapText="1"/>
    </xf>
    <xf numFmtId="1" fontId="26" fillId="0" borderId="1" xfId="0" applyNumberFormat="1" applyFont="1" applyFill="1" applyBorder="1" applyAlignment="1">
      <alignment horizontal="right" wrapText="1"/>
    </xf>
    <xf numFmtId="0" fontId="0" fillId="6" borderId="1" xfId="0" applyFill="1" applyBorder="1" applyAlignment="1" applyProtection="1">
      <alignment horizont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xf>
    <xf numFmtId="0" fontId="0" fillId="6" borderId="2" xfId="0" applyFill="1" applyBorder="1" applyAlignment="1" applyProtection="1">
      <alignment horizontal="center"/>
    </xf>
    <xf numFmtId="0" fontId="0" fillId="6" borderId="3" xfId="0" applyFill="1" applyBorder="1" applyAlignment="1" applyProtection="1">
      <alignment horizontal="center"/>
    </xf>
    <xf numFmtId="0" fontId="0" fillId="0" borderId="1" xfId="0" applyBorder="1" applyAlignment="1" applyProtection="1">
      <alignment horizontal="center"/>
    </xf>
    <xf numFmtId="0" fontId="0" fillId="6" borderId="1" xfId="0" applyFill="1" applyBorder="1" applyAlignment="1">
      <alignment horizontal="center" vertical="center"/>
    </xf>
    <xf numFmtId="0" fontId="0" fillId="6" borderId="1" xfId="0" applyFill="1" applyBorder="1" applyAlignment="1">
      <alignment horizontal="center"/>
    </xf>
    <xf numFmtId="0" fontId="4" fillId="9" borderId="0" xfId="0" applyFont="1" applyFill="1" applyProtection="1"/>
    <xf numFmtId="0" fontId="24" fillId="9" borderId="0" xfId="0" applyFont="1" applyFill="1" applyProtection="1"/>
    <xf numFmtId="0" fontId="0" fillId="9" borderId="5" xfId="0" applyFill="1" applyBorder="1" applyProtection="1"/>
    <xf numFmtId="0" fontId="26" fillId="5" borderId="1" xfId="0" applyFont="1" applyFill="1" applyBorder="1" applyProtection="1"/>
    <xf numFmtId="189" fontId="26" fillId="5" borderId="1" xfId="0" applyNumberFormat="1" applyFont="1" applyFill="1" applyBorder="1" applyAlignment="1" applyProtection="1">
      <alignment horizontal="right"/>
    </xf>
    <xf numFmtId="194" fontId="26" fillId="5" borderId="1" xfId="0" applyNumberFormat="1" applyFont="1" applyFill="1" applyBorder="1" applyAlignment="1" applyProtection="1">
      <alignment horizontal="right"/>
    </xf>
    <xf numFmtId="189" fontId="26" fillId="5" borderId="1" xfId="1" applyNumberFormat="1" applyFont="1" applyFill="1" applyBorder="1" applyAlignment="1" applyProtection="1">
      <alignment horizontal="right"/>
    </xf>
    <xf numFmtId="1" fontId="26" fillId="0" borderId="1" xfId="0" applyNumberFormat="1" applyFont="1" applyFill="1" applyBorder="1" applyAlignment="1" applyProtection="1">
      <alignment horizontal="right"/>
    </xf>
    <xf numFmtId="192" fontId="26" fillId="5" borderId="1" xfId="0" applyNumberFormat="1" applyFont="1" applyFill="1" applyBorder="1" applyAlignment="1" applyProtection="1">
      <alignment horizontal="right"/>
    </xf>
    <xf numFmtId="185" fontId="26" fillId="0" borderId="1" xfId="0" applyNumberFormat="1" applyFont="1" applyFill="1" applyBorder="1" applyAlignment="1" applyProtection="1">
      <alignment horizontal="right"/>
    </xf>
    <xf numFmtId="38" fontId="26" fillId="0" borderId="1" xfId="0" applyNumberFormat="1" applyFont="1" applyFill="1" applyBorder="1" applyAlignment="1" applyProtection="1">
      <alignment horizontal="right"/>
    </xf>
    <xf numFmtId="186" fontId="26" fillId="0" borderId="1" xfId="0" applyNumberFormat="1" applyFont="1" applyFill="1" applyBorder="1" applyAlignment="1" applyProtection="1">
      <alignment horizontal="right"/>
    </xf>
    <xf numFmtId="0" fontId="26" fillId="5" borderId="1" xfId="0" applyFont="1" applyFill="1" applyBorder="1" applyAlignment="1" applyProtection="1">
      <alignment horizontal="right" shrinkToFit="1"/>
    </xf>
    <xf numFmtId="9" fontId="26" fillId="0" borderId="1" xfId="0" applyNumberFormat="1" applyFont="1" applyFill="1" applyBorder="1" applyAlignment="1" applyProtection="1">
      <alignment horizontal="right" shrinkToFit="1"/>
    </xf>
    <xf numFmtId="196" fontId="26" fillId="5" borderId="1" xfId="0" applyNumberFormat="1" applyFont="1" applyFill="1" applyBorder="1" applyAlignment="1" applyProtection="1">
      <alignment horizontal="right" shrinkToFit="1"/>
    </xf>
    <xf numFmtId="191" fontId="26" fillId="5" borderId="1" xfId="0" applyNumberFormat="1" applyFont="1" applyFill="1" applyBorder="1" applyAlignment="1" applyProtection="1">
      <alignment horizontal="right" shrinkToFit="1"/>
    </xf>
    <xf numFmtId="38" fontId="26" fillId="5" borderId="1" xfId="1" applyFont="1" applyFill="1" applyBorder="1" applyAlignment="1" applyProtection="1">
      <alignment horizontal="right" shrinkToFit="1"/>
    </xf>
    <xf numFmtId="196" fontId="26" fillId="5" borderId="1" xfId="1" applyNumberFormat="1" applyFont="1" applyFill="1" applyBorder="1" applyAlignment="1" applyProtection="1">
      <alignment horizontal="right" shrinkToFit="1"/>
    </xf>
    <xf numFmtId="38" fontId="26" fillId="0" borderId="1" xfId="1" applyFont="1" applyFill="1" applyBorder="1" applyAlignment="1" applyProtection="1">
      <alignment horizontal="right" shrinkToFit="1"/>
    </xf>
    <xf numFmtId="185" fontId="26" fillId="0" borderId="1" xfId="0" applyNumberFormat="1" applyFont="1" applyFill="1" applyBorder="1" applyAlignment="1" applyProtection="1">
      <alignment horizontal="right" shrinkToFit="1"/>
    </xf>
    <xf numFmtId="0" fontId="0" fillId="9" borderId="0" xfId="0" applyFill="1" applyBorder="1" applyAlignment="1" applyProtection="1"/>
    <xf numFmtId="0" fontId="0" fillId="9" borderId="0" xfId="0" applyFill="1" applyBorder="1" applyAlignment="1" applyProtection="1">
      <alignment vertical="center"/>
    </xf>
    <xf numFmtId="0" fontId="0" fillId="9" borderId="0" xfId="0" applyFill="1" applyBorder="1" applyAlignment="1" applyProtection="1">
      <alignment shrinkToFit="1"/>
    </xf>
    <xf numFmtId="0" fontId="0" fillId="9" borderId="0" xfId="0" applyFill="1" applyBorder="1" applyProtection="1"/>
    <xf numFmtId="0" fontId="4" fillId="10" borderId="0" xfId="0" applyFont="1" applyFill="1" applyProtection="1"/>
    <xf numFmtId="9" fontId="0" fillId="2" borderId="1" xfId="2" applyNumberFormat="1" applyFont="1" applyFill="1" applyBorder="1" applyAlignment="1" applyProtection="1">
      <protection locked="0"/>
    </xf>
    <xf numFmtId="0" fontId="0" fillId="0" borderId="0" xfId="0" applyBorder="1" applyAlignment="1" applyProtection="1">
      <alignment horizontal="left" vertical="top"/>
    </xf>
    <xf numFmtId="0" fontId="0" fillId="0" borderId="0" xfId="0" applyFill="1" applyBorder="1" applyProtection="1">
      <protection locked="0"/>
    </xf>
    <xf numFmtId="1" fontId="0" fillId="0" borderId="1" xfId="0" applyNumberFormat="1" applyFill="1" applyBorder="1"/>
    <xf numFmtId="0" fontId="0" fillId="6" borderId="1" xfId="0" applyFill="1" applyBorder="1" applyAlignment="1" applyProtection="1">
      <alignment shrinkToFit="1"/>
    </xf>
    <xf numFmtId="0" fontId="0" fillId="6" borderId="5" xfId="0" applyFill="1" applyBorder="1" applyProtection="1"/>
    <xf numFmtId="0" fontId="0" fillId="6" borderId="2" xfId="0" applyFill="1" applyBorder="1" applyProtection="1"/>
    <xf numFmtId="0" fontId="0" fillId="6" borderId="1" xfId="0" applyFill="1" applyBorder="1" applyAlignment="1" applyProtection="1">
      <alignment vertical="center" wrapText="1"/>
    </xf>
    <xf numFmtId="0" fontId="0" fillId="6" borderId="1" xfId="0" applyFill="1" applyBorder="1" applyAlignment="1" applyProtection="1">
      <alignment horizontal="center"/>
    </xf>
    <xf numFmtId="0" fontId="0" fillId="0" borderId="0" xfId="0" applyFill="1" applyBorder="1"/>
    <xf numFmtId="38" fontId="0" fillId="0" borderId="1" xfId="1" applyFont="1" applyBorder="1" applyAlignment="1" applyProtection="1">
      <alignment horizontal="center" vertical="center"/>
    </xf>
    <xf numFmtId="9" fontId="0" fillId="0" borderId="1" xfId="2" applyFont="1" applyBorder="1" applyAlignment="1">
      <alignment horizontal="center"/>
    </xf>
    <xf numFmtId="189" fontId="0" fillId="7" borderId="1" xfId="1" applyNumberFormat="1" applyFont="1" applyFill="1" applyBorder="1" applyAlignment="1" applyProtection="1">
      <alignment vertical="center"/>
    </xf>
    <xf numFmtId="0" fontId="0" fillId="0" borderId="0" xfId="0" applyFill="1" applyBorder="1" applyAlignment="1" applyProtection="1">
      <alignment shrinkToFit="1"/>
      <protection locked="0"/>
    </xf>
    <xf numFmtId="0" fontId="6" fillId="0" borderId="0" xfId="0" applyFont="1" applyFill="1" applyBorder="1"/>
    <xf numFmtId="0" fontId="0" fillId="0" borderId="0" xfId="0" applyFill="1" applyBorder="1" applyAlignment="1">
      <alignment shrinkToFit="1"/>
    </xf>
    <xf numFmtId="0" fontId="0" fillId="0" borderId="0" xfId="0" applyFill="1" applyBorder="1" applyAlignment="1" applyProtection="1">
      <alignment vertical="center"/>
    </xf>
    <xf numFmtId="0" fontId="0" fillId="0" borderId="0" xfId="0" applyFill="1" applyBorder="1" applyAlignment="1" applyProtection="1">
      <alignment horizontal="center"/>
    </xf>
    <xf numFmtId="0" fontId="0" fillId="0" borderId="0" xfId="0" applyFill="1" applyBorder="1" applyAlignment="1" applyProtection="1">
      <alignment horizontal="center"/>
      <protection locked="0"/>
    </xf>
    <xf numFmtId="38" fontId="0" fillId="0" borderId="1" xfId="0" applyNumberFormat="1" applyBorder="1" applyAlignment="1" applyProtection="1">
      <alignment horizontal="right" vertical="center"/>
    </xf>
    <xf numFmtId="38" fontId="0" fillId="0" borderId="1" xfId="1" applyFont="1" applyBorder="1" applyAlignment="1" applyProtection="1">
      <alignment horizontal="center"/>
    </xf>
    <xf numFmtId="38" fontId="0" fillId="0" borderId="1" xfId="1" applyNumberFormat="1" applyFont="1" applyBorder="1" applyAlignment="1" applyProtection="1">
      <alignment horizontal="center"/>
    </xf>
    <xf numFmtId="38" fontId="0" fillId="0" borderId="1" xfId="1" applyNumberFormat="1" applyFont="1" applyBorder="1" applyAlignment="1" applyProtection="1">
      <alignment horizontal="center" vertical="center"/>
    </xf>
    <xf numFmtId="38" fontId="0" fillId="0" borderId="1" xfId="1" applyFont="1" applyBorder="1" applyAlignment="1" applyProtection="1">
      <alignment horizontal="center" shrinkToFit="1"/>
    </xf>
    <xf numFmtId="0" fontId="22" fillId="5" borderId="1" xfId="0" applyFont="1" applyFill="1" applyBorder="1" applyProtection="1"/>
    <xf numFmtId="0" fontId="26" fillId="5" borderId="1" xfId="0" applyFont="1" applyFill="1" applyBorder="1" applyAlignment="1" applyProtection="1">
      <alignment vertical="center" shrinkToFit="1"/>
      <protection locked="0"/>
    </xf>
    <xf numFmtId="9" fontId="26" fillId="5" borderId="1" xfId="0" applyNumberFormat="1" applyFont="1" applyFill="1" applyBorder="1" applyProtection="1"/>
    <xf numFmtId="38" fontId="0" fillId="0" borderId="1" xfId="1" applyNumberFormat="1" applyFont="1" applyBorder="1" applyAlignment="1">
      <alignment horizontal="center" vertical="center" shrinkToFit="1"/>
    </xf>
    <xf numFmtId="38" fontId="0" fillId="0" borderId="1" xfId="1" applyNumberFormat="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horizontal="center" vertical="center" wrapText="1"/>
    </xf>
    <xf numFmtId="0" fontId="26" fillId="5" borderId="1" xfId="0" applyFont="1" applyFill="1" applyBorder="1" applyAlignment="1" applyProtection="1">
      <alignment shrinkToFit="1"/>
    </xf>
    <xf numFmtId="0" fontId="4" fillId="2" borderId="0" xfId="0" applyFont="1" applyFill="1" applyProtection="1"/>
    <xf numFmtId="0" fontId="26" fillId="0" borderId="1" xfId="0" applyFont="1" applyFill="1" applyBorder="1" applyAlignment="1" applyProtection="1">
      <alignment horizontal="left"/>
    </xf>
    <xf numFmtId="38" fontId="26" fillId="0" borderId="1" xfId="1" applyFont="1" applyFill="1" applyBorder="1" applyAlignment="1" applyProtection="1">
      <alignment horizontal="center" wrapText="1"/>
    </xf>
    <xf numFmtId="0" fontId="26" fillId="0" borderId="1" xfId="0" applyFont="1" applyFill="1" applyBorder="1" applyAlignment="1" applyProtection="1">
      <alignment horizontal="right"/>
    </xf>
    <xf numFmtId="0" fontId="26" fillId="0" borderId="1" xfId="0" applyFont="1" applyFill="1" applyBorder="1" applyAlignment="1" applyProtection="1"/>
    <xf numFmtId="0" fontId="26" fillId="0" borderId="1" xfId="0" applyFont="1" applyFill="1" applyBorder="1" applyAlignment="1" applyProtection="1">
      <alignment horizontal="center"/>
    </xf>
    <xf numFmtId="0" fontId="22" fillId="0" borderId="1" xfId="0" applyFont="1" applyFill="1" applyBorder="1" applyProtection="1"/>
    <xf numFmtId="0" fontId="4" fillId="5" borderId="0" xfId="0" applyFont="1" applyFill="1" applyProtection="1"/>
    <xf numFmtId="0" fontId="0" fillId="6" borderId="5" xfId="0" applyFill="1" applyBorder="1" applyAlignment="1">
      <alignment horizontal="center"/>
    </xf>
    <xf numFmtId="0" fontId="0" fillId="6" borderId="3" xfId="0" applyFill="1" applyBorder="1"/>
    <xf numFmtId="0" fontId="26" fillId="5" borderId="1" xfId="0" applyFont="1" applyFill="1" applyBorder="1" applyAlignment="1">
      <alignment shrinkToFit="1"/>
    </xf>
    <xf numFmtId="0" fontId="26" fillId="5" borderId="1" xfId="0" applyFont="1" applyFill="1" applyBorder="1" applyAlignment="1" applyProtection="1">
      <alignment horizontal="center" shrinkToFit="1"/>
    </xf>
    <xf numFmtId="0" fontId="0" fillId="6" borderId="3" xfId="0" applyFill="1" applyBorder="1" applyAlignment="1"/>
    <xf numFmtId="195" fontId="0" fillId="0" borderId="1" xfId="0" applyNumberFormat="1" applyBorder="1" applyAlignment="1" applyProtection="1">
      <alignment horizontal="right"/>
    </xf>
    <xf numFmtId="0" fontId="22" fillId="5" borderId="1" xfId="0" applyFont="1" applyFill="1" applyBorder="1" applyAlignment="1" applyProtection="1">
      <alignment shrinkToFit="1"/>
    </xf>
    <xf numFmtId="0" fontId="9" fillId="6" borderId="1" xfId="0" applyFont="1" applyFill="1" applyBorder="1" applyAlignment="1" applyProtection="1">
      <alignment vertical="center" wrapText="1"/>
    </xf>
    <xf numFmtId="9" fontId="22" fillId="0" borderId="1" xfId="0" applyNumberFormat="1" applyFont="1" applyFill="1" applyBorder="1" applyAlignment="1" applyProtection="1">
      <alignment horizontal="center"/>
    </xf>
    <xf numFmtId="185" fontId="0" fillId="7" borderId="1" xfId="0" applyNumberFormat="1" applyFill="1" applyBorder="1" applyAlignment="1">
      <alignment horizontal="right" vertical="center" wrapText="1"/>
    </xf>
    <xf numFmtId="189" fontId="0" fillId="7" borderId="1" xfId="0" applyNumberFormat="1" applyFill="1" applyBorder="1" applyAlignment="1" applyProtection="1">
      <alignment horizontal="right" vertical="center"/>
    </xf>
    <xf numFmtId="189" fontId="0" fillId="7" borderId="1" xfId="0" applyNumberFormat="1" applyFill="1" applyBorder="1" applyAlignment="1">
      <alignment vertical="center" wrapText="1"/>
    </xf>
    <xf numFmtId="0" fontId="7" fillId="0" borderId="1" xfId="5" applyNumberFormat="1" applyFont="1" applyFill="1" applyBorder="1" applyAlignment="1" applyProtection="1">
      <alignment horizontal="center" vertical="center" wrapText="1" shrinkToFit="1"/>
    </xf>
    <xf numFmtId="179" fontId="14" fillId="0" borderId="1" xfId="5" applyNumberFormat="1" applyFont="1" applyFill="1" applyBorder="1" applyAlignment="1" applyProtection="1">
      <alignment horizontal="center" vertical="center" wrapText="1" shrinkToFit="1"/>
    </xf>
    <xf numFmtId="0" fontId="14" fillId="0" borderId="1" xfId="3" applyFont="1" applyFill="1" applyBorder="1">
      <alignment vertical="center"/>
    </xf>
    <xf numFmtId="180" fontId="0" fillId="0" borderId="1" xfId="5" applyNumberFormat="1" applyFont="1" applyFill="1" applyBorder="1" applyAlignment="1" applyProtection="1">
      <alignment horizontal="right" vertical="center" shrinkToFit="1"/>
    </xf>
    <xf numFmtId="0" fontId="19" fillId="0" borderId="1" xfId="5" applyNumberFormat="1" applyFont="1" applyFill="1" applyBorder="1" applyAlignment="1" applyProtection="1">
      <alignment horizontal="center" vertical="center" wrapText="1" shrinkToFit="1"/>
    </xf>
    <xf numFmtId="0" fontId="14" fillId="0" borderId="0" xfId="3" applyFont="1" applyFill="1" applyAlignment="1" applyProtection="1">
      <alignment vertical="center"/>
    </xf>
    <xf numFmtId="0" fontId="0" fillId="5" borderId="1" xfId="0" applyFont="1" applyFill="1" applyBorder="1" applyProtection="1"/>
    <xf numFmtId="0" fontId="12" fillId="5" borderId="1" xfId="0" applyFont="1" applyFill="1" applyBorder="1" applyAlignment="1" applyProtection="1">
      <alignment horizontal="center"/>
    </xf>
    <xf numFmtId="0" fontId="12" fillId="5" borderId="1" xfId="0" applyFont="1" applyFill="1" applyBorder="1" applyAlignment="1" applyProtection="1">
      <alignment horizontal="right"/>
    </xf>
    <xf numFmtId="38" fontId="12" fillId="5" borderId="1" xfId="1" applyFont="1" applyFill="1" applyBorder="1" applyAlignment="1" applyProtection="1">
      <alignment horizontal="right"/>
    </xf>
    <xf numFmtId="185" fontId="12" fillId="5" borderId="1" xfId="0" applyNumberFormat="1" applyFont="1" applyFill="1" applyBorder="1" applyAlignment="1" applyProtection="1">
      <alignment horizontal="right" wrapText="1"/>
    </xf>
    <xf numFmtId="0" fontId="12" fillId="5" borderId="1" xfId="0" applyFont="1" applyFill="1" applyBorder="1" applyAlignment="1" applyProtection="1">
      <alignment horizontal="center" wrapText="1"/>
    </xf>
    <xf numFmtId="0" fontId="12" fillId="5" borderId="1" xfId="0" applyFont="1" applyFill="1" applyBorder="1" applyAlignment="1" applyProtection="1">
      <alignment horizontal="right"/>
      <protection locked="0"/>
    </xf>
    <xf numFmtId="195" fontId="12" fillId="5" borderId="1" xfId="0" applyNumberFormat="1" applyFont="1" applyFill="1" applyBorder="1" applyAlignment="1" applyProtection="1">
      <alignment horizontal="right" wrapText="1"/>
    </xf>
    <xf numFmtId="0" fontId="0" fillId="6" borderId="5" xfId="0" applyFill="1" applyBorder="1" applyAlignment="1" applyProtection="1">
      <alignment horizontal="center"/>
    </xf>
    <xf numFmtId="0" fontId="0" fillId="9" borderId="0" xfId="0" applyFill="1" applyBorder="1" applyAlignment="1" applyProtection="1">
      <alignment horizontal="center"/>
    </xf>
    <xf numFmtId="0" fontId="4" fillId="8" borderId="0" xfId="0" applyFont="1" applyFill="1" applyProtection="1"/>
    <xf numFmtId="0" fontId="0" fillId="8" borderId="0" xfId="0" applyFill="1" applyProtection="1"/>
    <xf numFmtId="0" fontId="0" fillId="6" borderId="1" xfId="0" applyFill="1" applyBorder="1" applyAlignment="1" applyProtection="1">
      <alignment horizontal="centerContinuous"/>
    </xf>
    <xf numFmtId="0" fontId="0" fillId="6" borderId="11" xfId="0" applyFill="1" applyBorder="1" applyAlignment="1" applyProtection="1">
      <alignment horizontal="center"/>
    </xf>
    <xf numFmtId="180" fontId="0" fillId="6" borderId="1" xfId="0" applyNumberFormat="1" applyFill="1" applyBorder="1" applyAlignment="1" applyProtection="1">
      <alignment horizontal="center"/>
    </xf>
    <xf numFmtId="180" fontId="26" fillId="5" borderId="1" xfId="0" applyNumberFormat="1" applyFont="1" applyFill="1" applyBorder="1" applyAlignment="1" applyProtection="1">
      <alignment horizontal="right"/>
    </xf>
    <xf numFmtId="0" fontId="26" fillId="5" borderId="1" xfId="0" applyFont="1" applyFill="1" applyBorder="1" applyAlignment="1" applyProtection="1">
      <alignment horizontal="center"/>
    </xf>
    <xf numFmtId="195" fontId="26" fillId="0" borderId="1" xfId="0" applyNumberFormat="1" applyFont="1" applyFill="1" applyBorder="1" applyAlignment="1" applyProtection="1">
      <alignment horizontal="right" wrapText="1"/>
    </xf>
    <xf numFmtId="0" fontId="0" fillId="0" borderId="20" xfId="0" applyFill="1" applyBorder="1" applyProtection="1"/>
    <xf numFmtId="0" fontId="0" fillId="0" borderId="21" xfId="0" applyFill="1" applyBorder="1" applyProtection="1"/>
    <xf numFmtId="0" fontId="0" fillId="0" borderId="22" xfId="0" applyFill="1" applyBorder="1" applyProtection="1"/>
    <xf numFmtId="0" fontId="0" fillId="0" borderId="13" xfId="0" applyFill="1" applyBorder="1" applyProtection="1"/>
    <xf numFmtId="0" fontId="0" fillId="0" borderId="5" xfId="0" applyFill="1" applyBorder="1" applyProtection="1"/>
    <xf numFmtId="0" fontId="0" fillId="0" borderId="5" xfId="0" applyFill="1" applyBorder="1" applyAlignment="1" applyProtection="1"/>
    <xf numFmtId="0" fontId="0" fillId="0" borderId="18" xfId="0" applyFill="1" applyBorder="1" applyAlignment="1" applyProtection="1"/>
    <xf numFmtId="0" fontId="25" fillId="0" borderId="19" xfId="0" applyFont="1" applyFill="1" applyBorder="1" applyAlignment="1" applyProtection="1">
      <alignment horizontal="center"/>
    </xf>
    <xf numFmtId="0" fontId="25" fillId="0" borderId="5" xfId="0" applyFont="1" applyFill="1" applyBorder="1" applyAlignment="1" applyProtection="1">
      <alignment horizontal="center"/>
    </xf>
    <xf numFmtId="0" fontId="0" fillId="0" borderId="18" xfId="0" applyFill="1" applyBorder="1" applyProtection="1"/>
    <xf numFmtId="0" fontId="0" fillId="0" borderId="14" xfId="0" applyFill="1" applyBorder="1" applyAlignment="1" applyProtection="1">
      <alignment horizontal="center"/>
    </xf>
    <xf numFmtId="0" fontId="0" fillId="0" borderId="16" xfId="0" applyFill="1" applyBorder="1" applyAlignment="1" applyProtection="1">
      <alignment horizontal="center"/>
    </xf>
    <xf numFmtId="0" fontId="0" fillId="0" borderId="17" xfId="0" applyFill="1" applyBorder="1" applyAlignment="1" applyProtection="1">
      <alignment horizontal="center"/>
    </xf>
    <xf numFmtId="0" fontId="0" fillId="9" borderId="0" xfId="0" applyFill="1" applyProtection="1"/>
    <xf numFmtId="0" fontId="12" fillId="9" borderId="0" xfId="0" applyFont="1" applyFill="1" applyProtection="1"/>
    <xf numFmtId="9" fontId="0" fillId="2" borderId="1" xfId="2" applyFont="1" applyFill="1" applyBorder="1" applyAlignment="1" applyProtection="1"/>
    <xf numFmtId="9" fontId="0" fillId="9" borderId="6" xfId="2" applyFont="1" applyFill="1" applyBorder="1" applyAlignment="1" applyProtection="1"/>
    <xf numFmtId="0" fontId="0" fillId="6" borderId="4" xfId="0" applyFill="1" applyBorder="1" applyAlignment="1" applyProtection="1">
      <alignment vertical="center"/>
    </xf>
    <xf numFmtId="0" fontId="0" fillId="6" borderId="6" xfId="0" applyFill="1" applyBorder="1" applyAlignment="1" applyProtection="1">
      <alignment vertical="center"/>
    </xf>
    <xf numFmtId="0" fontId="0" fillId="6" borderId="5" xfId="0" applyFill="1" applyBorder="1" applyAlignment="1" applyProtection="1">
      <alignment vertical="center"/>
    </xf>
    <xf numFmtId="0" fontId="0" fillId="6" borderId="4" xfId="0" applyFill="1" applyBorder="1" applyAlignment="1" applyProtection="1"/>
    <xf numFmtId="0" fontId="0" fillId="6" borderId="7" xfId="0" applyFill="1" applyBorder="1" applyProtection="1"/>
    <xf numFmtId="0" fontId="0" fillId="0" borderId="19" xfId="0" applyFill="1" applyBorder="1" applyProtection="1"/>
    <xf numFmtId="0" fontId="0" fillId="0" borderId="3" xfId="0" applyFill="1" applyBorder="1" applyProtection="1"/>
    <xf numFmtId="0" fontId="0" fillId="0" borderId="2" xfId="0" applyFill="1" applyBorder="1" applyProtection="1"/>
    <xf numFmtId="189" fontId="0" fillId="0" borderId="2" xfId="0" applyNumberFormat="1" applyFill="1" applyBorder="1" applyAlignment="1" applyProtection="1">
      <alignment horizontal="left"/>
    </xf>
    <xf numFmtId="0" fontId="0" fillId="0" borderId="5" xfId="0" applyFill="1" applyBorder="1" applyAlignment="1" applyProtection="1">
      <alignment horizontal="center"/>
    </xf>
    <xf numFmtId="0" fontId="0" fillId="0" borderId="18" xfId="0" applyFill="1" applyBorder="1" applyAlignment="1" applyProtection="1">
      <alignment horizontal="center"/>
    </xf>
    <xf numFmtId="191" fontId="0" fillId="0" borderId="2" xfId="0" applyNumberFormat="1" applyFill="1" applyBorder="1" applyAlignment="1" applyProtection="1">
      <alignment horizontal="left"/>
    </xf>
    <xf numFmtId="0" fontId="0" fillId="0" borderId="15" xfId="0" applyFill="1" applyBorder="1" applyProtection="1"/>
    <xf numFmtId="0" fontId="0" fillId="0" borderId="16" xfId="0" applyFill="1" applyBorder="1" applyProtection="1"/>
    <xf numFmtId="189" fontId="0" fillId="0" borderId="24" xfId="0" applyNumberFormat="1" applyFill="1" applyBorder="1" applyAlignment="1" applyProtection="1">
      <alignment horizontal="left"/>
    </xf>
    <xf numFmtId="0" fontId="0" fillId="0" borderId="25" xfId="0" applyFill="1" applyBorder="1" applyProtection="1"/>
    <xf numFmtId="0" fontId="0" fillId="0" borderId="26" xfId="0" applyFill="1" applyBorder="1" applyProtection="1"/>
    <xf numFmtId="0" fontId="0" fillId="10" borderId="0" xfId="0" applyFill="1" applyProtection="1"/>
    <xf numFmtId="0" fontId="0" fillId="6" borderId="2" xfId="0" applyFill="1" applyBorder="1" applyAlignment="1" applyProtection="1">
      <alignment vertical="center"/>
    </xf>
    <xf numFmtId="0" fontId="0" fillId="6" borderId="6" xfId="0" applyFill="1" applyBorder="1" applyAlignment="1" applyProtection="1"/>
    <xf numFmtId="198" fontId="0" fillId="0" borderId="2" xfId="0" applyNumberFormat="1" applyFill="1" applyBorder="1" applyAlignment="1" applyProtection="1">
      <alignment horizontal="left"/>
    </xf>
    <xf numFmtId="0" fontId="0" fillId="2" borderId="0" xfId="0" applyFill="1" applyProtection="1"/>
    <xf numFmtId="0" fontId="12" fillId="0" borderId="5" xfId="0" applyFont="1" applyFill="1" applyBorder="1" applyAlignment="1" applyProtection="1">
      <alignment vertical="center"/>
    </xf>
    <xf numFmtId="0" fontId="0" fillId="0" borderId="5" xfId="0" applyFill="1" applyBorder="1" applyAlignment="1" applyProtection="1">
      <alignment horizontal="left" vertical="center"/>
    </xf>
    <xf numFmtId="0" fontId="0" fillId="0" borderId="5" xfId="0" applyFill="1" applyBorder="1" applyAlignment="1" applyProtection="1">
      <alignment vertical="center"/>
    </xf>
    <xf numFmtId="0" fontId="0" fillId="0" borderId="18" xfId="0" applyFill="1" applyBorder="1" applyAlignment="1" applyProtection="1">
      <alignment vertical="center"/>
    </xf>
    <xf numFmtId="0" fontId="0" fillId="0" borderId="4" xfId="0" applyFill="1" applyBorder="1" applyProtection="1"/>
    <xf numFmtId="0" fontId="0" fillId="0" borderId="30" xfId="0" applyFill="1" applyBorder="1" applyProtection="1"/>
    <xf numFmtId="189" fontId="0" fillId="0" borderId="3" xfId="0" applyNumberFormat="1" applyFill="1" applyBorder="1" applyAlignment="1" applyProtection="1">
      <alignment horizontal="left"/>
    </xf>
    <xf numFmtId="0" fontId="0" fillId="0" borderId="5"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7" xfId="0" applyFill="1" applyBorder="1" applyProtection="1"/>
    <xf numFmtId="0" fontId="0" fillId="0" borderId="9" xfId="0" applyFill="1" applyBorder="1" applyProtection="1"/>
    <xf numFmtId="198" fontId="0" fillId="0" borderId="3" xfId="0" applyNumberFormat="1" applyFill="1" applyBorder="1" applyAlignment="1" applyProtection="1">
      <alignment horizontal="left"/>
    </xf>
    <xf numFmtId="0" fontId="26" fillId="5" borderId="1" xfId="0" applyFont="1" applyFill="1" applyBorder="1" applyAlignment="1" applyProtection="1">
      <alignment vertical="center" shrinkToFit="1"/>
    </xf>
    <xf numFmtId="0" fontId="0" fillId="5" borderId="0" xfId="0" applyFill="1" applyProtection="1"/>
    <xf numFmtId="0" fontId="26" fillId="5" borderId="5" xfId="0" applyFont="1" applyFill="1" applyBorder="1" applyProtection="1"/>
    <xf numFmtId="177" fontId="26" fillId="0" borderId="1" xfId="0" applyNumberFormat="1" applyFont="1" applyFill="1" applyBorder="1" applyProtection="1"/>
    <xf numFmtId="185" fontId="26" fillId="0" borderId="1" xfId="0" applyNumberFormat="1" applyFont="1" applyFill="1" applyBorder="1" applyProtection="1"/>
    <xf numFmtId="9" fontId="26" fillId="0" borderId="1" xfId="0" applyNumberFormat="1" applyFont="1" applyFill="1" applyBorder="1" applyProtection="1"/>
    <xf numFmtId="0" fontId="26" fillId="0" borderId="5" xfId="0" applyFont="1" applyFill="1" applyBorder="1" applyProtection="1"/>
    <xf numFmtId="0" fontId="4" fillId="4" borderId="0" xfId="0" applyFont="1" applyFill="1" applyProtection="1"/>
    <xf numFmtId="0" fontId="0" fillId="4" borderId="0" xfId="0" applyFill="1" applyProtection="1"/>
    <xf numFmtId="0" fontId="22" fillId="5" borderId="1" xfId="0" applyFont="1" applyFill="1" applyBorder="1" applyAlignment="1" applyProtection="1">
      <alignment vertical="center" wrapText="1"/>
    </xf>
    <xf numFmtId="0" fontId="26" fillId="5" borderId="1" xfId="0" applyFont="1" applyFill="1" applyBorder="1" applyAlignment="1" applyProtection="1">
      <alignment horizontal="right" vertical="center" wrapText="1"/>
    </xf>
    <xf numFmtId="9" fontId="26" fillId="0" borderId="1" xfId="0" applyNumberFormat="1" applyFont="1" applyFill="1" applyBorder="1" applyAlignment="1" applyProtection="1">
      <alignment horizontal="right" vertical="center" wrapText="1"/>
    </xf>
    <xf numFmtId="1" fontId="26" fillId="0" borderId="1" xfId="0" applyNumberFormat="1" applyFont="1" applyFill="1" applyBorder="1" applyAlignment="1" applyProtection="1">
      <alignment horizontal="right" vertical="center" wrapText="1"/>
    </xf>
    <xf numFmtId="185" fontId="26" fillId="0" borderId="1" xfId="0" applyNumberFormat="1" applyFont="1" applyFill="1" applyBorder="1" applyAlignment="1" applyProtection="1">
      <alignment horizontal="right" vertical="center" wrapText="1"/>
    </xf>
    <xf numFmtId="0" fontId="26" fillId="0" borderId="1" xfId="0" applyFont="1" applyFill="1" applyBorder="1" applyAlignment="1" applyProtection="1">
      <alignment horizontal="right" vertical="center" wrapText="1"/>
    </xf>
    <xf numFmtId="197" fontId="26" fillId="0" borderId="1" xfId="0" applyNumberFormat="1" applyFont="1" applyFill="1" applyBorder="1" applyAlignment="1" applyProtection="1">
      <alignment horizontal="right" vertical="center" wrapText="1"/>
    </xf>
    <xf numFmtId="0" fontId="26" fillId="0" borderId="1" xfId="0" applyFont="1" applyFill="1" applyBorder="1" applyAlignment="1" applyProtection="1">
      <alignment vertical="center" wrapText="1" shrinkToFit="1"/>
    </xf>
    <xf numFmtId="9" fontId="0" fillId="0" borderId="1" xfId="2" applyFont="1" applyFill="1" applyBorder="1" applyAlignment="1" applyProtection="1"/>
    <xf numFmtId="38" fontId="0" fillId="0" borderId="1" xfId="1" applyFont="1" applyFill="1" applyBorder="1" applyAlignment="1" applyProtection="1"/>
    <xf numFmtId="0" fontId="0" fillId="0" borderId="11" xfId="0" applyFill="1" applyBorder="1" applyAlignment="1" applyProtection="1">
      <alignment horizontal="right"/>
    </xf>
    <xf numFmtId="38" fontId="0" fillId="0" borderId="1" xfId="1" applyFont="1" applyFill="1" applyBorder="1" applyAlignment="1" applyProtection="1">
      <alignment horizontal="right"/>
    </xf>
    <xf numFmtId="0" fontId="0" fillId="0" borderId="1" xfId="0" applyFill="1" applyBorder="1" applyAlignment="1" applyProtection="1">
      <alignment vertical="center" shrinkToFit="1"/>
    </xf>
    <xf numFmtId="9" fontId="0" fillId="0" borderId="1" xfId="0" applyNumberFormat="1" applyFill="1" applyBorder="1" applyAlignment="1" applyProtection="1">
      <alignment horizontal="center" vertical="center" shrinkToFit="1"/>
    </xf>
    <xf numFmtId="0" fontId="0" fillId="0" borderId="1" xfId="0" applyFill="1" applyBorder="1" applyAlignment="1" applyProtection="1">
      <alignment shrinkToFit="1"/>
    </xf>
    <xf numFmtId="9" fontId="26" fillId="0" borderId="1" xfId="0" applyNumberFormat="1" applyFont="1" applyFill="1" applyBorder="1" applyAlignment="1" applyProtection="1">
      <alignment horizontal="right" wrapText="1"/>
    </xf>
    <xf numFmtId="0" fontId="26" fillId="0" borderId="1" xfId="0" applyFont="1" applyFill="1" applyBorder="1" applyAlignment="1" applyProtection="1">
      <alignment horizontal="right" wrapText="1"/>
    </xf>
    <xf numFmtId="1" fontId="26" fillId="0" borderId="1" xfId="0" applyNumberFormat="1" applyFont="1" applyFill="1" applyBorder="1" applyAlignment="1" applyProtection="1">
      <alignment horizontal="right" wrapText="1"/>
    </xf>
    <xf numFmtId="197" fontId="26" fillId="0" borderId="1" xfId="0" applyNumberFormat="1" applyFont="1" applyFill="1" applyBorder="1" applyAlignment="1" applyProtection="1">
      <alignment horizontal="right" wrapText="1"/>
    </xf>
    <xf numFmtId="197" fontId="0" fillId="0" borderId="1" xfId="0" applyNumberFormat="1" applyBorder="1" applyAlignment="1" applyProtection="1">
      <alignment horizontal="right"/>
    </xf>
    <xf numFmtId="197" fontId="0" fillId="0" borderId="1" xfId="0" applyNumberFormat="1" applyBorder="1" applyProtection="1"/>
    <xf numFmtId="195" fontId="0" fillId="0" borderId="1" xfId="0" applyNumberFormat="1" applyBorder="1" applyProtection="1"/>
    <xf numFmtId="0" fontId="0" fillId="6" borderId="1" xfId="0" applyFill="1" applyBorder="1" applyAlignment="1" applyProtection="1">
      <alignment horizontal="center"/>
    </xf>
    <xf numFmtId="0" fontId="0" fillId="6" borderId="2" xfId="0" applyFill="1" applyBorder="1" applyAlignment="1" applyProtection="1">
      <alignment horizontal="center"/>
    </xf>
    <xf numFmtId="0" fontId="0" fillId="6" borderId="1" xfId="0" applyFill="1" applyBorder="1" applyAlignment="1">
      <alignment horizontal="center" vertical="center"/>
    </xf>
    <xf numFmtId="0" fontId="0" fillId="6" borderId="1" xfId="0" applyFill="1" applyBorder="1" applyAlignment="1">
      <alignment horizontal="center"/>
    </xf>
    <xf numFmtId="0" fontId="0" fillId="6" borderId="1" xfId="0" applyFill="1" applyBorder="1" applyAlignment="1" applyProtection="1">
      <alignment horizontal="center"/>
    </xf>
    <xf numFmtId="195" fontId="0" fillId="0" borderId="1" xfId="0" applyNumberFormat="1" applyBorder="1" applyAlignment="1" applyProtection="1">
      <alignment horizontal="right" vertical="center"/>
    </xf>
    <xf numFmtId="197" fontId="0" fillId="0" borderId="1" xfId="1" applyNumberFormat="1" applyFont="1" applyBorder="1" applyAlignment="1" applyProtection="1">
      <alignment horizontal="right" vertical="center"/>
    </xf>
    <xf numFmtId="197" fontId="0" fillId="0" borderId="1" xfId="1" applyNumberFormat="1" applyFont="1" applyBorder="1" applyAlignment="1" applyProtection="1"/>
    <xf numFmtId="0" fontId="0" fillId="0" borderId="11" xfId="0" applyBorder="1" applyProtection="1"/>
    <xf numFmtId="0" fontId="14" fillId="6" borderId="1" xfId="3" applyFont="1" applyFill="1" applyBorder="1" applyAlignment="1">
      <alignment horizontal="center" vertical="center"/>
    </xf>
    <xf numFmtId="0" fontId="14" fillId="6" borderId="1" xfId="3" applyFont="1" applyFill="1" applyBorder="1">
      <alignment vertical="center"/>
    </xf>
    <xf numFmtId="0" fontId="0" fillId="0" borderId="1" xfId="0" applyFill="1" applyBorder="1" applyAlignment="1" applyProtection="1">
      <alignment vertical="center"/>
    </xf>
    <xf numFmtId="0" fontId="0" fillId="3" borderId="1" xfId="0" applyFill="1" applyBorder="1" applyAlignment="1" applyProtection="1">
      <alignment horizontal="left"/>
      <protection locked="0"/>
    </xf>
    <xf numFmtId="195" fontId="0" fillId="0" borderId="10" xfId="0" applyNumberFormat="1" applyBorder="1" applyAlignment="1" applyProtection="1">
      <alignment horizontal="right" vertical="center"/>
    </xf>
    <xf numFmtId="178" fontId="0" fillId="0" borderId="1" xfId="0" applyNumberFormat="1" applyBorder="1" applyProtection="1"/>
    <xf numFmtId="0" fontId="0" fillId="0" borderId="1" xfId="0" applyFill="1" applyBorder="1" applyAlignment="1">
      <alignment horizontal="center" vertical="center"/>
    </xf>
    <xf numFmtId="0" fontId="0" fillId="6" borderId="1" xfId="0" applyFill="1" applyBorder="1" applyAlignment="1" applyProtection="1">
      <alignment horizontal="left" vertical="center"/>
    </xf>
    <xf numFmtId="0" fontId="22" fillId="11" borderId="1" xfId="0" applyFont="1" applyFill="1" applyBorder="1"/>
    <xf numFmtId="0" fontId="0" fillId="6" borderId="1" xfId="0" applyFill="1" applyBorder="1" applyAlignment="1" applyProtection="1">
      <alignment horizontal="center" shrinkToFit="1"/>
    </xf>
    <xf numFmtId="0" fontId="0" fillId="6" borderId="10" xfId="0" applyFill="1" applyBorder="1" applyAlignment="1" applyProtection="1">
      <alignment horizontal="left" vertical="center"/>
    </xf>
    <xf numFmtId="0" fontId="0" fillId="6" borderId="1" xfId="0" applyFill="1" applyBorder="1" applyAlignment="1" applyProtection="1">
      <alignment horizontal="left" vertical="top"/>
    </xf>
    <xf numFmtId="0" fontId="22" fillId="0" borderId="0" xfId="0" applyFont="1" applyProtection="1"/>
    <xf numFmtId="187" fontId="0" fillId="3" borderId="1" xfId="0" applyNumberFormat="1" applyFill="1" applyBorder="1" applyAlignment="1" applyProtection="1">
      <alignment horizontal="center"/>
      <protection locked="0"/>
    </xf>
    <xf numFmtId="0" fontId="0" fillId="3" borderId="1" xfId="0" applyFill="1" applyBorder="1" applyProtection="1">
      <protection locked="0"/>
    </xf>
    <xf numFmtId="0" fontId="22" fillId="3" borderId="1" xfId="0" applyFont="1" applyFill="1" applyBorder="1" applyAlignment="1" applyProtection="1">
      <alignment horizontal="center"/>
      <protection locked="0"/>
    </xf>
    <xf numFmtId="0" fontId="26" fillId="3" borderId="1" xfId="0" applyFont="1" applyFill="1" applyBorder="1" applyAlignment="1" applyProtection="1">
      <alignment horizontal="center"/>
      <protection locked="0"/>
    </xf>
    <xf numFmtId="199" fontId="0" fillId="0" borderId="1" xfId="1" applyNumberFormat="1" applyFont="1" applyBorder="1" applyAlignment="1" applyProtection="1"/>
    <xf numFmtId="199" fontId="0" fillId="7" borderId="1" xfId="1" applyNumberFormat="1" applyFont="1" applyFill="1" applyBorder="1" applyAlignment="1" applyProtection="1">
      <alignment horizontal="right" vertical="center"/>
    </xf>
    <xf numFmtId="0" fontId="0" fillId="6" borderId="1" xfId="0" applyFill="1" applyBorder="1" applyAlignment="1" applyProtection="1">
      <alignment horizontal="center"/>
    </xf>
    <xf numFmtId="0" fontId="0" fillId="6" borderId="1" xfId="0" applyFill="1" applyBorder="1" applyAlignment="1" applyProtection="1">
      <alignment horizontal="center" vertical="center"/>
    </xf>
    <xf numFmtId="0" fontId="0" fillId="6" borderId="1" xfId="0" applyFill="1" applyBorder="1" applyAlignment="1">
      <alignment horizontal="left" vertical="center" wrapText="1"/>
    </xf>
    <xf numFmtId="0" fontId="0" fillId="6" borderId="1" xfId="0" applyFill="1" applyBorder="1" applyAlignment="1" applyProtection="1">
      <alignment horizontal="left" vertical="center" wrapText="1"/>
    </xf>
    <xf numFmtId="0" fontId="9" fillId="6" borderId="1" xfId="0" applyFont="1" applyFill="1" applyBorder="1" applyAlignment="1">
      <alignment horizontal="left" vertical="center" wrapText="1"/>
    </xf>
    <xf numFmtId="0" fontId="10" fillId="6" borderId="1" xfId="0" applyFont="1" applyFill="1" applyBorder="1" applyAlignment="1" applyProtection="1">
      <alignment horizontal="left" vertical="center" wrapText="1"/>
    </xf>
    <xf numFmtId="0" fontId="0" fillId="6" borderId="1" xfId="0" applyFill="1" applyBorder="1" applyAlignment="1" applyProtection="1">
      <alignment horizontal="center" vertical="center" wrapText="1"/>
    </xf>
    <xf numFmtId="0" fontId="9" fillId="6" borderId="1" xfId="0" applyFont="1" applyFill="1" applyBorder="1" applyAlignment="1" applyProtection="1">
      <alignment horizontal="center" vertical="center" wrapText="1"/>
    </xf>
    <xf numFmtId="0" fontId="0" fillId="6" borderId="1" xfId="0" applyNumberFormat="1" applyFill="1" applyBorder="1" applyAlignment="1">
      <alignment horizontal="left" vertical="center" wrapText="1"/>
    </xf>
    <xf numFmtId="0" fontId="9" fillId="6" borderId="1" xfId="0" applyFont="1" applyFill="1" applyBorder="1" applyAlignment="1">
      <alignment horizontal="center" vertical="top" wrapText="1"/>
    </xf>
    <xf numFmtId="0" fontId="10" fillId="6" borderId="1" xfId="0" applyFont="1" applyFill="1" applyBorder="1" applyAlignment="1" applyProtection="1">
      <alignment horizontal="center" vertical="top" wrapText="1"/>
    </xf>
    <xf numFmtId="0" fontId="9" fillId="6" borderId="1" xfId="0" applyFont="1" applyFill="1" applyBorder="1" applyAlignment="1" applyProtection="1">
      <alignment horizontal="left" vertical="center" wrapText="1"/>
    </xf>
    <xf numFmtId="0" fontId="0" fillId="6" borderId="1" xfId="0" applyNumberFormat="1" applyFill="1" applyBorder="1" applyAlignment="1" applyProtection="1">
      <alignment horizontal="left" vertical="center" wrapText="1"/>
    </xf>
    <xf numFmtId="0" fontId="10" fillId="6" borderId="1" xfId="0" applyFont="1" applyFill="1" applyBorder="1" applyAlignment="1" applyProtection="1">
      <alignment horizontal="left" vertical="center" shrinkToFit="1"/>
    </xf>
    <xf numFmtId="0" fontId="0" fillId="6" borderId="0" xfId="0" applyFill="1" applyBorder="1" applyAlignment="1" applyProtection="1">
      <alignment horizontal="center"/>
    </xf>
    <xf numFmtId="0" fontId="0" fillId="6" borderId="0" xfId="0" applyFill="1" applyAlignment="1" applyProtection="1">
      <alignment horizontal="center"/>
    </xf>
    <xf numFmtId="9" fontId="26" fillId="5" borderId="1" xfId="0" applyNumberFormat="1" applyFont="1" applyFill="1" applyBorder="1" applyAlignment="1" applyProtection="1">
      <alignment horizontal="right"/>
    </xf>
    <xf numFmtId="9" fontId="0" fillId="0" borderId="11" xfId="0" applyNumberFormat="1" applyBorder="1" applyAlignment="1" applyProtection="1">
      <alignment horizontal="center" shrinkToFit="1"/>
    </xf>
    <xf numFmtId="9" fontId="26" fillId="0" borderId="1" xfId="0" applyNumberFormat="1" applyFont="1" applyFill="1" applyBorder="1" applyAlignment="1" applyProtection="1"/>
    <xf numFmtId="9" fontId="0" fillId="0" borderId="11" xfId="0" applyNumberFormat="1" applyFill="1" applyBorder="1" applyAlignment="1" applyProtection="1">
      <alignment horizontal="center" shrinkToFit="1"/>
    </xf>
    <xf numFmtId="9" fontId="0" fillId="0" borderId="1" xfId="0" applyNumberFormat="1" applyFill="1" applyBorder="1" applyAlignment="1" applyProtection="1">
      <alignment shrinkToFit="1"/>
    </xf>
    <xf numFmtId="187" fontId="22" fillId="5" borderId="1" xfId="0" applyNumberFormat="1" applyFont="1" applyFill="1" applyBorder="1" applyProtection="1"/>
    <xf numFmtId="187" fontId="0" fillId="2" borderId="1" xfId="0" applyNumberFormat="1" applyFill="1" applyBorder="1" applyAlignment="1" applyProtection="1">
      <alignment vertical="center" shrinkToFit="1"/>
      <protection locked="0"/>
    </xf>
    <xf numFmtId="9" fontId="26" fillId="0" borderId="1" xfId="1" applyNumberFormat="1" applyFont="1" applyFill="1" applyBorder="1" applyAlignment="1" applyProtection="1">
      <alignment horizontal="right"/>
    </xf>
    <xf numFmtId="0" fontId="0" fillId="6" borderId="1" xfId="0" applyFill="1" applyBorder="1" applyAlignment="1" applyProtection="1">
      <alignment horizontal="center"/>
    </xf>
    <xf numFmtId="0" fontId="0" fillId="6" borderId="1" xfId="0" applyFill="1" applyBorder="1" applyAlignment="1" applyProtection="1">
      <alignment horizontal="center"/>
    </xf>
    <xf numFmtId="0" fontId="0" fillId="6" borderId="1" xfId="0" applyFill="1" applyBorder="1" applyAlignment="1" applyProtection="1">
      <alignment horizontal="center" vertical="center"/>
    </xf>
    <xf numFmtId="0" fontId="0" fillId="0" borderId="1" xfId="0" applyBorder="1" applyAlignment="1" applyProtection="1">
      <alignment horizontal="center"/>
    </xf>
    <xf numFmtId="0" fontId="0" fillId="6" borderId="1" xfId="0" applyFill="1" applyBorder="1" applyAlignment="1">
      <alignment horizontal="center" vertical="center"/>
    </xf>
    <xf numFmtId="0" fontId="0" fillId="0" borderId="0" xfId="0" applyFill="1"/>
    <xf numFmtId="0" fontId="1" fillId="0" borderId="0" xfId="4" applyFont="1">
      <alignment vertical="center"/>
    </xf>
    <xf numFmtId="0" fontId="27" fillId="0" borderId="0" xfId="6" applyAlignment="1">
      <alignment vertical="center"/>
    </xf>
    <xf numFmtId="38" fontId="0" fillId="0" borderId="1" xfId="1" applyFont="1" applyFill="1" applyBorder="1" applyAlignment="1" applyProtection="1">
      <alignment horizontal="right"/>
      <protection locked="0"/>
    </xf>
    <xf numFmtId="188" fontId="26" fillId="5" borderId="1" xfId="0" applyNumberFormat="1" applyFont="1" applyFill="1" applyBorder="1" applyAlignment="1" applyProtection="1">
      <alignment horizontal="right"/>
    </xf>
    <xf numFmtId="188" fontId="0" fillId="2" borderId="1" xfId="0" applyNumberFormat="1" applyFill="1" applyBorder="1" applyProtection="1">
      <protection locked="0"/>
    </xf>
    <xf numFmtId="0" fontId="0" fillId="0" borderId="1" xfId="0" applyFill="1" applyBorder="1" applyProtection="1">
      <protection locked="0"/>
    </xf>
    <xf numFmtId="188" fontId="0" fillId="0" borderId="11" xfId="0" applyNumberFormat="1" applyBorder="1" applyAlignment="1" applyProtection="1">
      <alignment horizontal="right" vertical="center"/>
    </xf>
    <xf numFmtId="0" fontId="0" fillId="0" borderId="3" xfId="0" applyNumberFormat="1" applyFill="1" applyBorder="1" applyProtection="1">
      <protection locked="0"/>
    </xf>
    <xf numFmtId="0" fontId="26" fillId="5" borderId="1" xfId="0" applyFont="1" applyFill="1" applyBorder="1" applyAlignment="1" applyProtection="1">
      <alignment wrapText="1"/>
    </xf>
    <xf numFmtId="0" fontId="22" fillId="2" borderId="1" xfId="0" applyFont="1" applyFill="1" applyBorder="1" applyAlignment="1" applyProtection="1">
      <protection locked="0"/>
    </xf>
    <xf numFmtId="0" fontId="26" fillId="2" borderId="1" xfId="0" applyFont="1" applyFill="1" applyBorder="1" applyAlignment="1" applyProtection="1">
      <protection locked="0"/>
    </xf>
    <xf numFmtId="2" fontId="0" fillId="2" borderId="1" xfId="0" applyNumberFormat="1" applyFill="1" applyBorder="1" applyAlignment="1" applyProtection="1">
      <alignment shrinkToFit="1"/>
      <protection locked="0"/>
    </xf>
    <xf numFmtId="0" fontId="26" fillId="0" borderId="31" xfId="0" applyFont="1" applyFill="1" applyBorder="1" applyAlignment="1" applyProtection="1">
      <alignment wrapText="1" shrinkToFit="1"/>
    </xf>
    <xf numFmtId="0" fontId="0" fillId="0" borderId="31" xfId="0" applyFill="1" applyBorder="1" applyAlignment="1" applyProtection="1">
      <alignment horizontal="right" shrinkToFit="1"/>
    </xf>
    <xf numFmtId="0" fontId="0" fillId="0" borderId="31" xfId="0" applyFill="1" applyBorder="1" applyAlignment="1" applyProtection="1">
      <alignment shrinkToFit="1"/>
    </xf>
    <xf numFmtId="194" fontId="26" fillId="0" borderId="1" xfId="0" applyNumberFormat="1" applyFont="1" applyFill="1" applyBorder="1" applyAlignment="1" applyProtection="1">
      <alignment horizontal="right"/>
    </xf>
    <xf numFmtId="194" fontId="0" fillId="0" borderId="1" xfId="1" applyNumberFormat="1" applyFont="1" applyBorder="1" applyAlignment="1" applyProtection="1">
      <alignment horizontal="right" shrinkToFit="1"/>
    </xf>
    <xf numFmtId="194" fontId="0" fillId="0" borderId="1" xfId="0" applyNumberFormat="1" applyBorder="1" applyAlignment="1" applyProtection="1">
      <alignment shrinkToFit="1"/>
    </xf>
    <xf numFmtId="200" fontId="26" fillId="0" borderId="1" xfId="0" applyNumberFormat="1" applyFont="1" applyFill="1" applyBorder="1" applyAlignment="1" applyProtection="1">
      <alignment horizontal="right"/>
    </xf>
    <xf numFmtId="200" fontId="0" fillId="0" borderId="11" xfId="0" applyNumberFormat="1" applyBorder="1" applyAlignment="1" applyProtection="1">
      <alignment horizontal="center" shrinkToFit="1"/>
    </xf>
    <xf numFmtId="200" fontId="0" fillId="0" borderId="1" xfId="0" applyNumberFormat="1" applyFill="1" applyBorder="1" applyAlignment="1" applyProtection="1">
      <alignment shrinkToFit="1"/>
    </xf>
    <xf numFmtId="0" fontId="0" fillId="6" borderId="1" xfId="0" applyFill="1" applyBorder="1" applyAlignment="1"/>
    <xf numFmtId="0" fontId="0" fillId="6" borderId="8" xfId="0" applyFill="1" applyBorder="1" applyAlignment="1"/>
    <xf numFmtId="0" fontId="0" fillId="6" borderId="1" xfId="0" applyFill="1" applyBorder="1" applyAlignment="1" applyProtection="1">
      <alignment horizontal="center"/>
    </xf>
    <xf numFmtId="0" fontId="0" fillId="6" borderId="1" xfId="0" applyFill="1" applyBorder="1" applyAlignment="1" applyProtection="1">
      <alignment horizontal="center" vertical="center"/>
    </xf>
    <xf numFmtId="0" fontId="0" fillId="6" borderId="2" xfId="0" applyFill="1" applyBorder="1" applyAlignment="1" applyProtection="1">
      <alignment horizontal="center"/>
    </xf>
    <xf numFmtId="0" fontId="0" fillId="0" borderId="1" xfId="0" applyBorder="1" applyAlignment="1" applyProtection="1">
      <alignment horizontal="center"/>
    </xf>
    <xf numFmtId="0" fontId="0" fillId="6" borderId="1" xfId="0" applyFill="1" applyBorder="1" applyAlignment="1">
      <alignment horizontal="center" vertical="center"/>
    </xf>
    <xf numFmtId="0" fontId="0" fillId="6" borderId="1" xfId="0" applyFill="1" applyBorder="1" applyAlignment="1" applyProtection="1">
      <alignment horizontal="center"/>
    </xf>
    <xf numFmtId="0" fontId="0" fillId="6" borderId="1" xfId="0" applyFill="1" applyBorder="1" applyAlignment="1">
      <alignment horizontal="center"/>
    </xf>
    <xf numFmtId="0" fontId="0" fillId="6" borderId="1" xfId="0" applyFill="1" applyBorder="1" applyAlignment="1" applyProtection="1">
      <alignment horizontal="center"/>
    </xf>
    <xf numFmtId="0" fontId="0" fillId="6" borderId="1" xfId="0" applyFill="1" applyBorder="1" applyAlignment="1">
      <alignment horizontal="center"/>
    </xf>
    <xf numFmtId="38" fontId="26" fillId="0" borderId="1" xfId="1" applyFont="1" applyFill="1" applyBorder="1" applyAlignment="1"/>
    <xf numFmtId="38" fontId="22" fillId="0" borderId="11" xfId="1" applyFont="1" applyFill="1" applyBorder="1" applyAlignment="1"/>
    <xf numFmtId="38" fontId="22" fillId="0" borderId="1" xfId="1" applyFont="1" applyFill="1" applyBorder="1" applyAlignment="1"/>
    <xf numFmtId="189" fontId="0" fillId="0" borderId="1" xfId="1" applyNumberFormat="1" applyFont="1" applyBorder="1" applyAlignment="1">
      <alignment horizontal="right"/>
    </xf>
    <xf numFmtId="176" fontId="26" fillId="0" borderId="1" xfId="1" applyNumberFormat="1" applyFont="1" applyFill="1" applyBorder="1" applyAlignment="1" applyProtection="1">
      <alignment horizontal="right"/>
    </xf>
    <xf numFmtId="176" fontId="0" fillId="0" borderId="1" xfId="1" applyNumberFormat="1" applyFont="1" applyBorder="1" applyAlignment="1" applyProtection="1">
      <alignment horizontal="right" vertical="center"/>
    </xf>
    <xf numFmtId="176" fontId="0" fillId="0" borderId="1" xfId="1" applyNumberFormat="1" applyFont="1" applyBorder="1" applyAlignment="1" applyProtection="1">
      <alignment horizontal="right"/>
    </xf>
    <xf numFmtId="178" fontId="26" fillId="0" borderId="1" xfId="1" applyNumberFormat="1" applyFont="1" applyFill="1" applyBorder="1" applyAlignment="1" applyProtection="1">
      <alignment horizontal="right"/>
    </xf>
    <xf numFmtId="178" fontId="26" fillId="0" borderId="1" xfId="0" applyNumberFormat="1" applyFont="1" applyFill="1" applyBorder="1" applyAlignment="1" applyProtection="1">
      <alignment horizontal="right" wrapText="1"/>
    </xf>
    <xf numFmtId="178" fontId="0" fillId="0" borderId="1" xfId="0" applyNumberFormat="1" applyBorder="1" applyAlignment="1" applyProtection="1">
      <alignment horizontal="right" vertical="center"/>
    </xf>
    <xf numFmtId="195" fontId="26" fillId="0" borderId="1" xfId="1" applyNumberFormat="1" applyFont="1" applyFill="1" applyBorder="1" applyAlignment="1" applyProtection="1">
      <alignment horizontal="right"/>
    </xf>
    <xf numFmtId="195" fontId="0" fillId="0" borderId="1" xfId="1" applyNumberFormat="1" applyFont="1" applyBorder="1" applyAlignment="1" applyProtection="1">
      <alignment horizontal="right" vertical="center"/>
    </xf>
    <xf numFmtId="195" fontId="0" fillId="7" borderId="1" xfId="0" applyNumberFormat="1" applyFill="1" applyBorder="1" applyAlignment="1">
      <alignment horizontal="right"/>
    </xf>
    <xf numFmtId="195" fontId="0" fillId="0" borderId="1" xfId="0" applyNumberFormat="1" applyFill="1" applyBorder="1" applyAlignment="1">
      <alignment horizontal="right"/>
    </xf>
    <xf numFmtId="189" fontId="0" fillId="7" borderId="1" xfId="1" applyNumberFormat="1" applyFont="1" applyFill="1" applyBorder="1" applyAlignment="1"/>
    <xf numFmtId="178" fontId="0" fillId="7" borderId="1" xfId="1" applyNumberFormat="1" applyFont="1" applyFill="1" applyBorder="1" applyAlignment="1" applyProtection="1">
      <alignment horizontal="right"/>
    </xf>
    <xf numFmtId="178" fontId="0" fillId="7" borderId="1" xfId="0" applyNumberFormat="1" applyFill="1" applyBorder="1" applyProtection="1"/>
    <xf numFmtId="195" fontId="0" fillId="7" borderId="1" xfId="1" applyNumberFormat="1" applyFont="1" applyFill="1" applyBorder="1" applyAlignment="1" applyProtection="1">
      <alignment horizontal="right"/>
    </xf>
    <xf numFmtId="195" fontId="0" fillId="7" borderId="1" xfId="0" applyNumberFormat="1" applyFill="1" applyBorder="1" applyProtection="1"/>
    <xf numFmtId="178" fontId="26" fillId="0" borderId="1" xfId="0" applyNumberFormat="1" applyFont="1" applyFill="1" applyBorder="1" applyAlignment="1" applyProtection="1">
      <alignment horizontal="right"/>
    </xf>
    <xf numFmtId="178" fontId="0" fillId="0" borderId="1" xfId="0" applyNumberFormat="1" applyBorder="1" applyAlignment="1" applyProtection="1">
      <alignment horizontal="right"/>
    </xf>
    <xf numFmtId="195" fontId="26" fillId="0" borderId="1" xfId="0" applyNumberFormat="1" applyFont="1" applyFill="1" applyBorder="1" applyAlignment="1" applyProtection="1">
      <alignment horizontal="right"/>
    </xf>
    <xf numFmtId="195" fontId="0" fillId="0" borderId="1" xfId="1" applyNumberFormat="1" applyFont="1" applyBorder="1" applyAlignment="1" applyProtection="1">
      <alignment horizontal="right" shrinkToFit="1"/>
    </xf>
    <xf numFmtId="195" fontId="0" fillId="0" borderId="1" xfId="1" applyNumberFormat="1" applyFont="1" applyBorder="1" applyAlignment="1" applyProtection="1">
      <alignment shrinkToFit="1"/>
    </xf>
    <xf numFmtId="178" fontId="0" fillId="0" borderId="1" xfId="1" applyNumberFormat="1" applyFont="1" applyBorder="1" applyAlignment="1" applyProtection="1">
      <alignment horizontal="right" shrinkToFit="1"/>
    </xf>
    <xf numFmtId="178" fontId="0" fillId="0" borderId="1" xfId="0" applyNumberFormat="1" applyBorder="1" applyAlignment="1" applyProtection="1">
      <alignment horizontal="right" shrinkToFit="1"/>
    </xf>
    <xf numFmtId="178" fontId="0" fillId="7" borderId="1" xfId="1" applyNumberFormat="1" applyFont="1" applyFill="1" applyBorder="1" applyAlignment="1" applyProtection="1">
      <alignment shrinkToFit="1"/>
    </xf>
    <xf numFmtId="178" fontId="0" fillId="7" borderId="1" xfId="0" applyNumberFormat="1" applyFill="1" applyBorder="1" applyAlignment="1" applyProtection="1">
      <alignment shrinkToFit="1"/>
    </xf>
    <xf numFmtId="195" fontId="0" fillId="0" borderId="10" xfId="1" applyNumberFormat="1" applyFont="1" applyBorder="1" applyAlignment="1" applyProtection="1">
      <alignment horizontal="right" vertical="center"/>
    </xf>
    <xf numFmtId="195" fontId="0" fillId="7" borderId="1" xfId="1" applyNumberFormat="1" applyFont="1" applyFill="1" applyBorder="1" applyAlignment="1"/>
    <xf numFmtId="195" fontId="0" fillId="7" borderId="1" xfId="0" applyNumberFormat="1" applyFill="1" applyBorder="1"/>
    <xf numFmtId="0" fontId="0" fillId="0" borderId="0" xfId="0" applyFill="1" applyBorder="1" applyAlignment="1">
      <alignment horizontal="center" vertical="center"/>
    </xf>
    <xf numFmtId="0" fontId="0" fillId="0" borderId="0" xfId="0" applyFill="1" applyBorder="1" applyAlignment="1" applyProtection="1">
      <alignment horizontal="center" vertical="top"/>
      <protection locked="0"/>
    </xf>
    <xf numFmtId="0" fontId="0" fillId="6" borderId="2" xfId="0" applyFill="1" applyBorder="1" applyAlignment="1">
      <alignment horizontal="centerContinuous"/>
    </xf>
    <xf numFmtId="0" fontId="0" fillId="6" borderId="3" xfId="0" applyFill="1" applyBorder="1" applyAlignment="1">
      <alignment horizontal="centerContinuous"/>
    </xf>
    <xf numFmtId="0" fontId="12" fillId="6" borderId="1" xfId="0" applyFont="1" applyFill="1" applyBorder="1" applyAlignment="1">
      <alignment horizontal="centerContinuous"/>
    </xf>
    <xf numFmtId="191" fontId="0" fillId="0" borderId="1" xfId="0" applyNumberFormat="1" applyFill="1" applyBorder="1" applyProtection="1">
      <protection locked="0"/>
    </xf>
    <xf numFmtId="194" fontId="0" fillId="0" borderId="1" xfId="0" applyNumberFormat="1" applyFill="1" applyBorder="1" applyAlignment="1" applyProtection="1">
      <alignment horizontal="right" vertical="center"/>
    </xf>
    <xf numFmtId="194" fontId="0" fillId="0" borderId="1" xfId="0" applyNumberFormat="1" applyFill="1" applyBorder="1" applyProtection="1">
      <protection locked="0"/>
    </xf>
    <xf numFmtId="0" fontId="0" fillId="6" borderId="11" xfId="0" applyFill="1" applyBorder="1" applyProtection="1"/>
    <xf numFmtId="0" fontId="0" fillId="6" borderId="11" xfId="0" applyFill="1" applyBorder="1"/>
    <xf numFmtId="0" fontId="0" fillId="6" borderId="11" xfId="0" applyFill="1" applyBorder="1" applyAlignment="1">
      <alignment horizontal="center" wrapText="1"/>
    </xf>
    <xf numFmtId="0" fontId="0" fillId="6" borderId="1" xfId="0" applyFill="1" applyBorder="1" applyAlignment="1" applyProtection="1">
      <alignment horizontal="center"/>
    </xf>
    <xf numFmtId="0" fontId="0" fillId="6" borderId="1" xfId="0" applyFill="1" applyBorder="1" applyAlignment="1">
      <alignment horizontal="center"/>
    </xf>
    <xf numFmtId="0" fontId="0" fillId="6" borderId="1" xfId="0" applyFill="1" applyBorder="1" applyAlignment="1" applyProtection="1">
      <alignment horizontal="center"/>
    </xf>
    <xf numFmtId="193" fontId="0" fillId="6" borderId="1" xfId="0" applyNumberFormat="1" applyFill="1" applyBorder="1" applyAlignment="1" applyProtection="1"/>
    <xf numFmtId="178" fontId="0" fillId="0" borderId="1" xfId="1" applyNumberFormat="1" applyFont="1" applyBorder="1" applyAlignment="1" applyProtection="1">
      <alignment horizontal="right" vertical="center"/>
    </xf>
    <xf numFmtId="188" fontId="0" fillId="0" borderId="1" xfId="0" applyNumberFormat="1" applyBorder="1" applyProtection="1"/>
    <xf numFmtId="180" fontId="0" fillId="0" borderId="1" xfId="0" applyNumberFormat="1" applyBorder="1" applyProtection="1"/>
    <xf numFmtId="0" fontId="0" fillId="6" borderId="10" xfId="0" applyFill="1" applyBorder="1" applyAlignment="1" applyProtection="1">
      <alignment horizontal="left" vertical="center" wrapText="1"/>
    </xf>
    <xf numFmtId="201" fontId="0" fillId="0" borderId="1" xfId="0" applyNumberFormat="1" applyBorder="1" applyProtection="1"/>
    <xf numFmtId="201" fontId="0" fillId="0" borderId="1" xfId="0" applyNumberFormat="1" applyFill="1" applyBorder="1" applyProtection="1"/>
    <xf numFmtId="0" fontId="0" fillId="0" borderId="0" xfId="0" applyAlignment="1" applyProtection="1"/>
    <xf numFmtId="194" fontId="26" fillId="11" borderId="1" xfId="0" applyNumberFormat="1" applyFont="1" applyFill="1" applyBorder="1" applyAlignment="1" applyProtection="1">
      <alignment horizontal="right"/>
    </xf>
    <xf numFmtId="194" fontId="0" fillId="11" borderId="1" xfId="0" applyNumberFormat="1" applyFill="1" applyBorder="1" applyAlignment="1" applyProtection="1">
      <alignment horizontal="right" vertical="center"/>
    </xf>
    <xf numFmtId="194" fontId="0" fillId="11" borderId="1" xfId="0" applyNumberFormat="1" applyFill="1" applyBorder="1" applyProtection="1">
      <protection locked="0"/>
    </xf>
    <xf numFmtId="0" fontId="0" fillId="0" borderId="0" xfId="0" applyFill="1" applyBorder="1" applyAlignment="1" applyProtection="1"/>
    <xf numFmtId="0" fontId="0" fillId="0" borderId="8" xfId="0" applyBorder="1" applyProtection="1"/>
    <xf numFmtId="0" fontId="0" fillId="6" borderId="5" xfId="0" applyFill="1" applyBorder="1" applyAlignment="1" applyProtection="1">
      <alignment vertical="top"/>
    </xf>
    <xf numFmtId="0" fontId="0" fillId="6" borderId="3" xfId="0" applyFill="1" applyBorder="1" applyAlignment="1" applyProtection="1">
      <alignment vertical="top"/>
    </xf>
    <xf numFmtId="0" fontId="0" fillId="6" borderId="2" xfId="0" applyFill="1" applyBorder="1" applyAlignment="1" applyProtection="1">
      <alignment vertical="top"/>
    </xf>
    <xf numFmtId="195" fontId="26" fillId="0" borderId="29" xfId="0" applyNumberFormat="1" applyFont="1" applyFill="1" applyBorder="1" applyAlignment="1" applyProtection="1">
      <alignment horizontal="right" wrapText="1"/>
    </xf>
    <xf numFmtId="178" fontId="26" fillId="0" borderId="29" xfId="0" applyNumberFormat="1" applyFont="1" applyFill="1" applyBorder="1" applyAlignment="1" applyProtection="1">
      <alignment horizontal="right" wrapText="1"/>
    </xf>
    <xf numFmtId="0" fontId="28" fillId="0" borderId="0" xfId="0" applyFont="1"/>
    <xf numFmtId="0" fontId="0" fillId="0" borderId="0" xfId="0" applyAlignment="1">
      <alignment horizontal="left"/>
    </xf>
    <xf numFmtId="0" fontId="0" fillId="6" borderId="3" xfId="0" applyNumberFormat="1" applyFill="1" applyBorder="1" applyAlignment="1">
      <alignment horizontal="centerContinuous" vertical="center"/>
    </xf>
    <xf numFmtId="38" fontId="0" fillId="0" borderId="1" xfId="1" applyFont="1" applyFill="1" applyBorder="1" applyAlignment="1" applyProtection="1">
      <alignment shrinkToFit="1"/>
      <protection locked="0"/>
    </xf>
    <xf numFmtId="0" fontId="12" fillId="6" borderId="1" xfId="0" applyNumberFormat="1" applyFont="1" applyFill="1" applyBorder="1" applyAlignment="1">
      <alignment horizontal="center" vertical="center" shrinkToFit="1"/>
    </xf>
    <xf numFmtId="0" fontId="0" fillId="6" borderId="1" xfId="0" applyNumberFormat="1" applyFill="1" applyBorder="1" applyAlignment="1">
      <alignment horizontal="center" vertical="center" shrinkToFit="1"/>
    </xf>
    <xf numFmtId="188" fontId="0" fillId="0" borderId="1" xfId="1" applyNumberFormat="1" applyFont="1" applyFill="1" applyBorder="1" applyAlignment="1" applyProtection="1">
      <alignment shrinkToFit="1"/>
      <protection locked="0"/>
    </xf>
    <xf numFmtId="188" fontId="0" fillId="0" borderId="1" xfId="0" applyNumberFormat="1" applyFill="1" applyBorder="1"/>
    <xf numFmtId="188" fontId="0" fillId="0" borderId="1" xfId="1" applyNumberFormat="1" applyFont="1" applyFill="1" applyBorder="1" applyAlignment="1" applyProtection="1">
      <protection locked="0"/>
    </xf>
    <xf numFmtId="188" fontId="0" fillId="0" borderId="1" xfId="1" applyNumberFormat="1" applyFont="1" applyFill="1" applyBorder="1" applyAlignment="1"/>
    <xf numFmtId="188" fontId="0" fillId="0" borderId="11" xfId="1" applyNumberFormat="1" applyFont="1" applyFill="1" applyBorder="1" applyAlignment="1" applyProtection="1">
      <alignment shrinkToFit="1"/>
      <protection locked="0"/>
    </xf>
    <xf numFmtId="188" fontId="0" fillId="0" borderId="11" xfId="0" applyNumberFormat="1" applyFill="1" applyBorder="1"/>
    <xf numFmtId="188" fontId="0" fillId="0" borderId="11" xfId="1" applyNumberFormat="1" applyFont="1" applyFill="1" applyBorder="1" applyAlignment="1" applyProtection="1">
      <protection locked="0"/>
    </xf>
    <xf numFmtId="0" fontId="0" fillId="0" borderId="32" xfId="0" applyFill="1" applyBorder="1" applyAlignment="1" applyProtection="1">
      <alignment horizontal="left" vertical="top"/>
    </xf>
    <xf numFmtId="0" fontId="10" fillId="0" borderId="29" xfId="0" applyFont="1" applyFill="1" applyBorder="1" applyAlignment="1" applyProtection="1">
      <alignment horizontal="left" vertical="center" wrapText="1"/>
    </xf>
    <xf numFmtId="0" fontId="0" fillId="0" borderId="29" xfId="0" applyFill="1" applyBorder="1" applyAlignment="1" applyProtection="1">
      <alignment horizontal="center" wrapText="1"/>
    </xf>
    <xf numFmtId="178" fontId="0" fillId="0" borderId="29" xfId="0" applyNumberFormat="1" applyFill="1" applyBorder="1" applyAlignment="1" applyProtection="1">
      <alignment horizontal="right" vertical="center"/>
    </xf>
    <xf numFmtId="178" fontId="0" fillId="0" borderId="29" xfId="0" applyNumberFormat="1" applyFill="1" applyBorder="1" applyProtection="1"/>
    <xf numFmtId="0" fontId="0" fillId="0" borderId="0" xfId="0" applyFill="1" applyBorder="1" applyAlignment="1" applyProtection="1">
      <alignment horizontal="left" vertical="top"/>
    </xf>
    <xf numFmtId="0" fontId="0" fillId="0" borderId="29" xfId="0" applyFill="1" applyBorder="1" applyAlignment="1" applyProtection="1">
      <alignment horizontal="right" wrapText="1"/>
    </xf>
    <xf numFmtId="195" fontId="0" fillId="0" borderId="29" xfId="0" applyNumberFormat="1" applyFill="1" applyBorder="1" applyAlignment="1" applyProtection="1">
      <alignment horizontal="right" vertical="center"/>
    </xf>
    <xf numFmtId="195" fontId="0" fillId="0" borderId="29" xfId="0" applyNumberFormat="1" applyFill="1" applyBorder="1" applyProtection="1"/>
    <xf numFmtId="202" fontId="26" fillId="0" borderId="1" xfId="0" applyNumberFormat="1" applyFont="1" applyFill="1" applyBorder="1" applyAlignment="1" applyProtection="1">
      <alignment horizontal="right"/>
    </xf>
    <xf numFmtId="202" fontId="0" fillId="0" borderId="1" xfId="0" applyNumberFormat="1" applyBorder="1" applyAlignment="1" applyProtection="1">
      <alignment horizontal="right" vertical="center"/>
    </xf>
    <xf numFmtId="202" fontId="0" fillId="0" borderId="1" xfId="0" applyNumberFormat="1" applyBorder="1" applyProtection="1"/>
    <xf numFmtId="0" fontId="0" fillId="6" borderId="1" xfId="0" applyFill="1" applyBorder="1" applyAlignment="1">
      <alignment shrinkToFit="1"/>
    </xf>
    <xf numFmtId="0" fontId="0" fillId="9" borderId="2" xfId="0" applyFill="1" applyBorder="1" applyAlignment="1">
      <alignment horizontal="centerContinuous"/>
    </xf>
    <xf numFmtId="0" fontId="0" fillId="9" borderId="3" xfId="0" applyFill="1" applyBorder="1" applyAlignment="1">
      <alignment horizontal="centerContinuous"/>
    </xf>
    <xf numFmtId="0" fontId="0" fillId="0" borderId="11" xfId="0" applyFill="1" applyBorder="1" applyProtection="1"/>
    <xf numFmtId="0" fontId="29" fillId="0" borderId="1" xfId="0" applyFont="1" applyBorder="1" applyAlignment="1">
      <alignment horizontal="center" shrinkToFit="1"/>
    </xf>
    <xf numFmtId="0" fontId="29" fillId="0" borderId="1" xfId="0" applyFont="1" applyFill="1" applyBorder="1" applyAlignment="1">
      <alignment horizontal="center" shrinkToFit="1"/>
    </xf>
    <xf numFmtId="176" fontId="0" fillId="0" borderId="0" xfId="0" applyNumberFormat="1" applyProtection="1"/>
    <xf numFmtId="200" fontId="26" fillId="5" borderId="1" xfId="0" applyNumberFormat="1" applyFont="1" applyFill="1" applyBorder="1" applyAlignment="1" applyProtection="1">
      <alignment horizontal="right"/>
    </xf>
    <xf numFmtId="200" fontId="0" fillId="2" borderId="1" xfId="0" applyNumberFormat="1" applyFill="1" applyBorder="1" applyProtection="1">
      <protection locked="0"/>
    </xf>
    <xf numFmtId="200" fontId="26" fillId="5" borderId="1" xfId="1" applyNumberFormat="1" applyFont="1" applyFill="1" applyBorder="1" applyAlignment="1" applyProtection="1">
      <alignment horizontal="right"/>
    </xf>
    <xf numFmtId="0" fontId="0" fillId="12" borderId="1" xfId="0" applyFill="1" applyBorder="1" applyAlignment="1">
      <alignment horizontal="center"/>
    </xf>
    <xf numFmtId="0" fontId="0" fillId="6" borderId="1" xfId="0" applyFill="1" applyBorder="1" applyAlignment="1">
      <alignment horizontal="center"/>
    </xf>
    <xf numFmtId="0" fontId="0" fillId="6" borderId="23" xfId="0" applyFill="1" applyBorder="1" applyAlignment="1">
      <alignment horizontal="center" vertical="center" wrapText="1"/>
    </xf>
    <xf numFmtId="0" fontId="0" fillId="6" borderId="10" xfId="0" applyFill="1" applyBorder="1" applyAlignment="1">
      <alignment horizontal="center" vertical="center"/>
    </xf>
    <xf numFmtId="0" fontId="0" fillId="2" borderId="1" xfId="0" applyFill="1" applyBorder="1" applyAlignment="1" applyProtection="1">
      <alignment horizontal="center" vertical="top" wrapText="1"/>
      <protection locked="0"/>
    </xf>
    <xf numFmtId="0" fontId="0" fillId="6" borderId="1" xfId="0" applyFill="1" applyBorder="1" applyAlignment="1">
      <alignment horizontal="center" vertical="top"/>
    </xf>
    <xf numFmtId="0" fontId="0" fillId="6" borderId="2" xfId="0" applyFill="1" applyBorder="1" applyAlignment="1">
      <alignment horizontal="center" vertical="top"/>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23" xfId="0"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pplyProtection="1">
      <alignment horizontal="center" vertical="top" shrinkToFit="1"/>
    </xf>
    <xf numFmtId="0" fontId="0" fillId="6" borderId="3" xfId="0" applyFill="1" applyBorder="1" applyAlignment="1" applyProtection="1">
      <alignment horizontal="center" vertical="top" shrinkToFit="1"/>
    </xf>
    <xf numFmtId="189" fontId="0" fillId="0" borderId="2" xfId="1" applyNumberFormat="1" applyFont="1" applyBorder="1" applyAlignment="1" applyProtection="1"/>
    <xf numFmtId="189" fontId="0" fillId="0" borderId="3" xfId="1" applyNumberFormat="1" applyFont="1" applyBorder="1" applyAlignment="1" applyProtection="1"/>
    <xf numFmtId="38" fontId="0" fillId="0" borderId="2" xfId="1" applyFont="1" applyBorder="1" applyAlignment="1" applyProtection="1">
      <alignment horizontal="center" vertical="center"/>
    </xf>
    <xf numFmtId="38" fontId="0" fillId="0" borderId="3" xfId="1" applyFont="1" applyBorder="1" applyAlignment="1" applyProtection="1">
      <alignment horizontal="center" vertical="center"/>
    </xf>
    <xf numFmtId="185" fontId="0" fillId="0" borderId="2" xfId="0" applyNumberFormat="1" applyBorder="1" applyAlignment="1">
      <alignment vertical="center"/>
    </xf>
    <xf numFmtId="185" fontId="0" fillId="0" borderId="3" xfId="0" applyNumberFormat="1" applyBorder="1" applyAlignment="1">
      <alignment vertical="center"/>
    </xf>
    <xf numFmtId="38" fontId="0" fillId="0" borderId="2" xfId="0" applyNumberFormat="1" applyBorder="1" applyAlignment="1">
      <alignment vertical="center"/>
    </xf>
    <xf numFmtId="38" fontId="0" fillId="0" borderId="3" xfId="0" applyNumberFormat="1" applyBorder="1" applyAlignment="1">
      <alignment vertic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0" borderId="2" xfId="0" applyFill="1" applyBorder="1" applyAlignment="1">
      <alignment horizontal="center" vertical="top"/>
    </xf>
    <xf numFmtId="0" fontId="0" fillId="0" borderId="5" xfId="0" applyFill="1" applyBorder="1" applyAlignment="1">
      <alignment horizontal="center" vertical="top"/>
    </xf>
    <xf numFmtId="0" fontId="0" fillId="0" borderId="3" xfId="0" applyFill="1" applyBorder="1" applyAlignment="1">
      <alignment horizontal="center" vertical="top"/>
    </xf>
    <xf numFmtId="0" fontId="0" fillId="6" borderId="1" xfId="0" applyFill="1" applyBorder="1" applyAlignment="1" applyProtection="1">
      <alignment horizontal="center" vertical="center"/>
    </xf>
    <xf numFmtId="0" fontId="0" fillId="2" borderId="2"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6" borderId="7" xfId="0" applyFill="1" applyBorder="1" applyAlignment="1" applyProtection="1">
      <alignment horizontal="center" shrinkToFit="1"/>
    </xf>
    <xf numFmtId="0" fontId="0" fillId="6" borderId="9" xfId="0" applyFill="1" applyBorder="1" applyAlignment="1" applyProtection="1">
      <alignment horizontal="center" shrinkToFit="1"/>
    </xf>
    <xf numFmtId="0" fontId="0" fillId="6" borderId="2" xfId="0" applyFill="1" applyBorder="1" applyAlignment="1" applyProtection="1">
      <alignment horizontal="center" shrinkToFit="1"/>
    </xf>
    <xf numFmtId="0" fontId="0" fillId="6" borderId="3" xfId="0" applyFill="1" applyBorder="1" applyAlignment="1" applyProtection="1">
      <alignment horizontal="center" shrinkToFit="1"/>
    </xf>
    <xf numFmtId="0" fontId="0" fillId="6" borderId="1" xfId="0" applyFill="1" applyBorder="1" applyAlignment="1" applyProtection="1">
      <alignment horizontal="center"/>
    </xf>
    <xf numFmtId="0" fontId="0" fillId="6" borderId="4" xfId="0" applyFill="1" applyBorder="1" applyAlignment="1" applyProtection="1">
      <alignment horizontal="left" vertical="top"/>
    </xf>
    <xf numFmtId="0" fontId="0" fillId="6" borderId="6" xfId="0" applyFill="1" applyBorder="1" applyAlignment="1" applyProtection="1">
      <alignment horizontal="left" vertical="top"/>
    </xf>
    <xf numFmtId="0" fontId="0" fillId="6" borderId="30" xfId="0" applyFill="1" applyBorder="1" applyAlignment="1" applyProtection="1">
      <alignment horizontal="left" vertical="top"/>
    </xf>
    <xf numFmtId="0" fontId="0" fillId="6" borderId="7" xfId="0" applyFill="1" applyBorder="1" applyAlignment="1" applyProtection="1">
      <alignment horizontal="left" vertical="top"/>
    </xf>
    <xf numFmtId="0" fontId="0" fillId="6" borderId="8" xfId="0" applyFill="1" applyBorder="1" applyAlignment="1" applyProtection="1">
      <alignment horizontal="left" vertical="top"/>
    </xf>
    <xf numFmtId="0" fontId="0" fillId="6" borderId="9" xfId="0" applyFill="1" applyBorder="1" applyAlignment="1" applyProtection="1">
      <alignment horizontal="left" vertical="top"/>
    </xf>
    <xf numFmtId="0" fontId="0" fillId="6" borderId="23" xfId="0" applyFill="1" applyBorder="1" applyAlignment="1" applyProtection="1">
      <alignment horizontal="center" vertical="center" wrapText="1"/>
    </xf>
    <xf numFmtId="0" fontId="0" fillId="6" borderId="29"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2" xfId="0" applyFill="1" applyBorder="1" applyAlignment="1">
      <alignment horizontal="center"/>
    </xf>
    <xf numFmtId="0" fontId="0" fillId="6" borderId="3" xfId="0" applyFill="1" applyBorder="1" applyAlignment="1">
      <alignment horizontal="center"/>
    </xf>
    <xf numFmtId="0" fontId="0" fillId="6" borderId="2" xfId="0" applyFill="1" applyBorder="1" applyAlignment="1" applyProtection="1">
      <alignment horizontal="center" vertical="top" wrapText="1"/>
    </xf>
    <xf numFmtId="0" fontId="0" fillId="6" borderId="3" xfId="0" applyFill="1" applyBorder="1" applyAlignment="1" applyProtection="1">
      <alignment horizontal="center" vertical="top" wrapText="1"/>
    </xf>
    <xf numFmtId="0" fontId="0" fillId="6" borderId="2" xfId="0" applyFill="1" applyBorder="1" applyAlignment="1" applyProtection="1">
      <alignment horizontal="center"/>
    </xf>
    <xf numFmtId="0" fontId="0" fillId="6" borderId="3" xfId="0" applyFill="1" applyBorder="1" applyAlignment="1" applyProtection="1">
      <alignment horizontal="center"/>
    </xf>
    <xf numFmtId="0" fontId="0" fillId="0" borderId="8" xfId="0" applyFill="1" applyBorder="1" applyAlignment="1" applyProtection="1">
      <alignment horizontal="center"/>
    </xf>
    <xf numFmtId="0" fontId="0" fillId="0" borderId="6" xfId="0" applyFill="1" applyBorder="1" applyAlignment="1" applyProtection="1">
      <alignment horizontal="center"/>
    </xf>
    <xf numFmtId="0" fontId="0" fillId="0" borderId="1" xfId="0" applyBorder="1" applyAlignment="1" applyProtection="1">
      <alignment horizontal="right"/>
    </xf>
    <xf numFmtId="0" fontId="0" fillId="6" borderId="4" xfId="0" applyFill="1" applyBorder="1" applyAlignment="1" applyProtection="1">
      <alignment horizontal="center" vertical="center"/>
    </xf>
    <xf numFmtId="0" fontId="0" fillId="6" borderId="30" xfId="0" applyFill="1" applyBorder="1" applyAlignment="1" applyProtection="1">
      <alignment horizontal="center" vertical="center"/>
    </xf>
    <xf numFmtId="0" fontId="0" fillId="6" borderId="7" xfId="0" applyFill="1" applyBorder="1" applyAlignment="1" applyProtection="1">
      <alignment horizontal="center" vertical="center"/>
    </xf>
    <xf numFmtId="0" fontId="0" fillId="6" borderId="9" xfId="0" applyFill="1" applyBorder="1" applyAlignment="1" applyProtection="1">
      <alignment horizontal="center" vertical="center"/>
    </xf>
    <xf numFmtId="0" fontId="0" fillId="6" borderId="23" xfId="0" applyFill="1" applyBorder="1" applyAlignment="1" applyProtection="1">
      <alignment horizontal="center" vertical="center"/>
    </xf>
    <xf numFmtId="0" fontId="0" fillId="6" borderId="10" xfId="0" applyFill="1" applyBorder="1" applyAlignment="1" applyProtection="1">
      <alignment horizontal="center" vertical="center"/>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6" borderId="5" xfId="0" applyFill="1" applyBorder="1" applyAlignment="1" applyProtection="1">
      <alignment horizontal="center"/>
    </xf>
    <xf numFmtId="0" fontId="26" fillId="0" borderId="2" xfId="0" applyFont="1" applyFill="1" applyBorder="1" applyAlignment="1">
      <alignment horizontal="center" shrinkToFit="1"/>
    </xf>
    <xf numFmtId="0" fontId="26" fillId="0" borderId="3" xfId="0" applyFont="1" applyFill="1" applyBorder="1" applyAlignment="1">
      <alignment horizontal="center" shrinkToFit="1"/>
    </xf>
    <xf numFmtId="0" fontId="0" fillId="6" borderId="27" xfId="0" applyFill="1" applyBorder="1" applyAlignment="1" applyProtection="1">
      <alignment horizontal="center"/>
    </xf>
    <xf numFmtId="0" fontId="0" fillId="6" borderId="28" xfId="0" applyFill="1" applyBorder="1" applyAlignment="1" applyProtection="1">
      <alignment horizontal="center"/>
    </xf>
    <xf numFmtId="0" fontId="0" fillId="0" borderId="2" xfId="0" applyFill="1" applyBorder="1" applyAlignment="1">
      <alignment horizontal="center" shrinkToFit="1"/>
    </xf>
    <xf numFmtId="0" fontId="0" fillId="0" borderId="3" xfId="0" applyFill="1" applyBorder="1" applyAlignment="1">
      <alignment horizontal="center" shrinkToFit="1"/>
    </xf>
    <xf numFmtId="0" fontId="0" fillId="0" borderId="27" xfId="0" applyFill="1" applyBorder="1" applyAlignment="1">
      <alignment horizontal="center"/>
    </xf>
    <xf numFmtId="0" fontId="0" fillId="0" borderId="28" xfId="0" applyFill="1" applyBorder="1" applyAlignment="1">
      <alignment horizontal="center"/>
    </xf>
    <xf numFmtId="0" fontId="26" fillId="0" borderId="2" xfId="0" applyFont="1" applyFill="1" applyBorder="1" applyAlignment="1">
      <alignment horizontal="center"/>
    </xf>
    <xf numFmtId="0" fontId="26" fillId="0" borderId="3" xfId="0" applyFont="1" applyFill="1" applyBorder="1" applyAlignment="1">
      <alignment horizontal="center"/>
    </xf>
    <xf numFmtId="0" fontId="0" fillId="0" borderId="2" xfId="0" applyBorder="1" applyAlignment="1">
      <alignment horizontal="center" shrinkToFit="1"/>
    </xf>
    <xf numFmtId="0" fontId="0" fillId="0" borderId="3" xfId="0" applyBorder="1" applyAlignment="1">
      <alignment horizontal="center" shrinkToFit="1"/>
    </xf>
    <xf numFmtId="0" fontId="0" fillId="0" borderId="27" xfId="0" applyBorder="1" applyAlignment="1">
      <alignment horizontal="center"/>
    </xf>
    <xf numFmtId="0" fontId="0" fillId="0" borderId="28" xfId="0" applyBorder="1" applyAlignment="1">
      <alignment horizontal="center"/>
    </xf>
    <xf numFmtId="0" fontId="0" fillId="0" borderId="1" xfId="0" applyBorder="1" applyAlignment="1" applyProtection="1">
      <alignment horizontal="center"/>
    </xf>
    <xf numFmtId="0" fontId="0" fillId="2" borderId="2" xfId="0" applyFill="1" applyBorder="1" applyAlignment="1" applyProtection="1">
      <alignment horizontal="center" shrinkToFit="1"/>
      <protection locked="0"/>
    </xf>
    <xf numFmtId="0" fontId="0" fillId="2" borderId="5" xfId="0" applyFill="1" applyBorder="1" applyAlignment="1" applyProtection="1">
      <alignment horizontal="center" shrinkToFit="1"/>
      <protection locked="0"/>
    </xf>
    <xf numFmtId="0" fontId="0" fillId="2" borderId="3" xfId="0" applyFill="1" applyBorder="1" applyAlignment="1" applyProtection="1">
      <alignment horizontal="center" shrinkToFit="1"/>
      <protection locked="0"/>
    </xf>
    <xf numFmtId="0" fontId="0" fillId="6" borderId="2" xfId="0" applyFill="1" applyBorder="1" applyAlignment="1" applyProtection="1">
      <alignment horizontal="center" vertical="center" wrapText="1"/>
    </xf>
    <xf numFmtId="0" fontId="0" fillId="6" borderId="3" xfId="0" applyFill="1" applyBorder="1" applyAlignment="1" applyProtection="1">
      <alignment horizontal="center" vertical="center" wrapText="1"/>
    </xf>
    <xf numFmtId="0" fontId="10" fillId="0" borderId="31" xfId="0" applyFont="1" applyFill="1" applyBorder="1" applyAlignment="1" applyProtection="1">
      <alignment horizontal="center" vertical="center" textRotation="255" shrinkToFit="1"/>
    </xf>
    <xf numFmtId="0" fontId="0" fillId="6" borderId="5"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2" borderId="2"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0" borderId="23"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9" xfId="0" applyFont="1" applyFill="1" applyBorder="1" applyAlignment="1" applyProtection="1">
      <alignment horizontal="center"/>
    </xf>
    <xf numFmtId="0" fontId="12" fillId="0" borderId="5" xfId="0" applyFont="1" applyFill="1" applyBorder="1" applyAlignment="1" applyProtection="1">
      <alignment horizontal="center"/>
    </xf>
    <xf numFmtId="0" fontId="0" fillId="0" borderId="19" xfId="0" applyFill="1" applyBorder="1" applyAlignment="1" applyProtection="1">
      <alignment horizontal="center"/>
    </xf>
    <xf numFmtId="0" fontId="0" fillId="0" borderId="3" xfId="0" applyFill="1" applyBorder="1" applyAlignment="1" applyProtection="1">
      <alignment horizontal="center"/>
    </xf>
    <xf numFmtId="0" fontId="0" fillId="0" borderId="33" xfId="0" applyFill="1" applyBorder="1" applyAlignment="1" applyProtection="1">
      <alignment horizontal="center"/>
    </xf>
    <xf numFmtId="0" fontId="0" fillId="0" borderId="34" xfId="0" applyFill="1" applyBorder="1" applyAlignment="1" applyProtection="1">
      <alignment horizontal="center"/>
    </xf>
    <xf numFmtId="0" fontId="0" fillId="0" borderId="5" xfId="0" applyFill="1" applyBorder="1" applyAlignment="1" applyProtection="1">
      <alignment horizontal="center"/>
    </xf>
    <xf numFmtId="0" fontId="0" fillId="9" borderId="0" xfId="0" applyFill="1" applyBorder="1" applyAlignment="1" applyProtection="1">
      <alignment horizontal="center"/>
    </xf>
    <xf numFmtId="0" fontId="26" fillId="0" borderId="2" xfId="0" applyFont="1" applyFill="1" applyBorder="1" applyAlignment="1" applyProtection="1">
      <alignment horizontal="center"/>
    </xf>
    <xf numFmtId="0" fontId="26" fillId="0" borderId="3" xfId="0" applyFont="1" applyFill="1" applyBorder="1" applyAlignment="1" applyProtection="1">
      <alignment horizontal="center"/>
    </xf>
    <xf numFmtId="0" fontId="26" fillId="0" borderId="2" xfId="0" applyFont="1" applyFill="1" applyBorder="1" applyAlignment="1" applyProtection="1">
      <alignment horizontal="center" shrinkToFit="1"/>
    </xf>
    <xf numFmtId="0" fontId="26" fillId="0" borderId="3" xfId="0" applyFont="1" applyFill="1" applyBorder="1" applyAlignment="1" applyProtection="1">
      <alignment horizontal="center" shrinkToFit="1"/>
    </xf>
    <xf numFmtId="0" fontId="0" fillId="0" borderId="1" xfId="0" applyFill="1" applyBorder="1" applyAlignment="1" applyProtection="1">
      <alignment horizontal="center" vertical="center" wrapText="1"/>
    </xf>
    <xf numFmtId="0" fontId="0" fillId="6" borderId="1" xfId="0" applyFill="1" applyBorder="1" applyAlignment="1">
      <alignment horizontal="center" vertical="center"/>
    </xf>
  </cellXfs>
  <cellStyles count="7">
    <cellStyle name="パーセント" xfId="2" builtinId="5"/>
    <cellStyle name="ハイパーリンク" xfId="6" builtinId="8"/>
    <cellStyle name="桁区切り" xfId="1" builtinId="6"/>
    <cellStyle name="桁区切り 2" xfId="5"/>
    <cellStyle name="標準" xfId="0" builtinId="0"/>
    <cellStyle name="標準 2" xfId="3"/>
    <cellStyle name="標準 5 8" xfId="4"/>
  </cellStyles>
  <dxfs count="87">
    <dxf>
      <fill>
        <patternFill>
          <bgColor rgb="FFFFFF00"/>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ont>
        <color auto="1"/>
      </font>
      <fill>
        <patternFill>
          <bgColor rgb="FFFF9696"/>
        </patternFill>
      </fill>
    </dxf>
    <dxf>
      <fill>
        <patternFill patternType="none">
          <bgColor auto="1"/>
        </patternFill>
      </fill>
    </dxf>
    <dxf>
      <fill>
        <patternFill>
          <bgColor rgb="FFFF4B4B"/>
        </patternFill>
      </fill>
    </dxf>
    <dxf>
      <fill>
        <patternFill patternType="none">
          <bgColor auto="1"/>
        </patternFill>
      </fill>
    </dxf>
    <dxf>
      <fill>
        <patternFill>
          <bgColor theme="0" tint="-0.24994659260841701"/>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FFCC99"/>
      <color rgb="FFFF9696"/>
      <color rgb="FFFBFBFB"/>
      <color rgb="FFF0F0F0"/>
      <color rgb="FFFFF2CC"/>
      <color rgb="FFFFCCCC"/>
      <color rgb="FFFFFFCC"/>
      <color rgb="FFFF4B4B"/>
      <color rgb="FFFF6464"/>
      <color rgb="FFCF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1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462772</xdr:colOff>
      <xdr:row>0</xdr:row>
      <xdr:rowOff>154108</xdr:rowOff>
    </xdr:from>
    <xdr:to>
      <xdr:col>14</xdr:col>
      <xdr:colOff>0</xdr:colOff>
      <xdr:row>3</xdr:row>
      <xdr:rowOff>0</xdr:rowOff>
    </xdr:to>
    <xdr:grpSp>
      <xdr:nvGrpSpPr>
        <xdr:cNvPr id="2" name="グループ化 1"/>
        <xdr:cNvGrpSpPr/>
      </xdr:nvGrpSpPr>
      <xdr:grpSpPr>
        <a:xfrm>
          <a:off x="9174972" y="154108"/>
          <a:ext cx="2153428" cy="671392"/>
          <a:chOff x="17123228" y="2906486"/>
          <a:chExt cx="2144486" cy="685800"/>
        </a:xfrm>
      </xdr:grpSpPr>
      <xdr:sp textlink="">
        <xdr:nvSpPr>
          <xdr:cNvPr id="3" name="テキスト ボックス 2"/>
          <xdr:cNvSpPr txBox="1"/>
        </xdr:nvSpPr>
        <xdr:spPr>
          <a:xfrm>
            <a:off x="17123228" y="2906486"/>
            <a:ext cx="2144486"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4" name="テキスト ボックス 3"/>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5" name="テキスト ボックス 4"/>
          <xdr:cNvSpPr txBox="1"/>
        </xdr:nvSpPr>
        <xdr:spPr>
          <a:xfrm>
            <a:off x="18277114"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clientData/>
  </xdr:twoCellAnchor>
  <xdr:twoCellAnchor>
    <xdr:from>
      <xdr:col>6</xdr:col>
      <xdr:colOff>0</xdr:colOff>
      <xdr:row>11</xdr:row>
      <xdr:rowOff>0</xdr:rowOff>
    </xdr:from>
    <xdr:to>
      <xdr:col>10</xdr:col>
      <xdr:colOff>0</xdr:colOff>
      <xdr:row>15</xdr:row>
      <xdr:rowOff>0</xdr:rowOff>
    </xdr:to>
    <xdr:sp textlink="">
      <xdr:nvSpPr>
        <xdr:cNvPr id="6" name="テキスト ボックス 5"/>
        <xdr:cNvSpPr txBox="1"/>
      </xdr:nvSpPr>
      <xdr:spPr>
        <a:xfrm>
          <a:off x="3759200" y="2654300"/>
          <a:ext cx="3302000" cy="914400"/>
        </a:xfrm>
        <a:prstGeom prst="rect">
          <a:avLst/>
        </a:prstGeom>
        <a:solidFill>
          <a:sysClr val="window" lastClr="FFFFFF"/>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光熱費の記載は任意です。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ご入力いただくと、光熱費等が計算されます。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ysClr val="windowText" lastClr="000000"/>
              </a:solidFill>
              <a:effectLst/>
              <a:latin typeface="+mn-lt"/>
              <a:ea typeface="+mn-ea"/>
              <a:cs typeface="+mn-cs"/>
            </a:rPr>
            <a:t>参考としてご覧ください。</a:t>
          </a:r>
          <a:endParaRPr kumimoji="1" lang="en-US" altLang="ja-JP" sz="1100">
            <a:solidFill>
              <a:sysClr val="windowText" lastClr="000000"/>
            </a:solidFill>
          </a:endParaRPr>
        </a:p>
      </xdr:txBody>
    </xdr:sp>
    <xdr:clientData/>
  </xdr:twoCellAnchor>
  <xdr:twoCellAnchor>
    <xdr:from>
      <xdr:col>2</xdr:col>
      <xdr:colOff>0</xdr:colOff>
      <xdr:row>11</xdr:row>
      <xdr:rowOff>0</xdr:rowOff>
    </xdr:from>
    <xdr:to>
      <xdr:col>5</xdr:col>
      <xdr:colOff>0</xdr:colOff>
      <xdr:row>15</xdr:row>
      <xdr:rowOff>0</xdr:rowOff>
    </xdr:to>
    <xdr:sp textlink="">
      <xdr:nvSpPr>
        <xdr:cNvPr id="7" name="テキスト ボックス 6"/>
        <xdr:cNvSpPr txBox="1"/>
      </xdr:nvSpPr>
      <xdr:spPr>
        <a:xfrm>
          <a:off x="812800" y="2654300"/>
          <a:ext cx="2946400" cy="914400"/>
        </a:xfrm>
        <a:prstGeom prst="rect">
          <a:avLst/>
        </a:prstGeom>
        <a:solidFill>
          <a:sysClr val="window" lastClr="FFFFFF"/>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エネルギー使用量は記入必須です。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設備で使用しているエネルギーは全て記載してください。</a:t>
          </a:r>
          <a:endParaRPr kumimoji="1" lang="en-US" altLang="ja-JP"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11</xdr:row>
      <xdr:rowOff>0</xdr:rowOff>
    </xdr:from>
    <xdr:to>
      <xdr:col>15</xdr:col>
      <xdr:colOff>0</xdr:colOff>
      <xdr:row>13</xdr:row>
      <xdr:rowOff>0</xdr:rowOff>
    </xdr:to>
    <xdr:grpSp>
      <xdr:nvGrpSpPr>
        <xdr:cNvPr id="3" name="グループ化 2"/>
        <xdr:cNvGrpSpPr/>
      </xdr:nvGrpSpPr>
      <xdr:grpSpPr>
        <a:xfrm>
          <a:off x="9779000" y="2639786"/>
          <a:ext cx="2576286" cy="453571"/>
          <a:chOff x="11843657" y="2763050"/>
          <a:chExt cx="2705136" cy="457200"/>
        </a:xfrm>
      </xdr:grpSpPr>
      <xdr:sp textlink="">
        <xdr:nvSpPr>
          <xdr:cNvPr id="4" name="テキスト ボックス 3"/>
          <xdr:cNvSpPr txBox="1"/>
        </xdr:nvSpPr>
        <xdr:spPr>
          <a:xfrm>
            <a:off x="11843657" y="2763050"/>
            <a:ext cx="270513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a:t>
            </a:r>
            <a:endParaRPr lang="en-US" altLang="ja-JP">
              <a:solidFill>
                <a:sysClr val="windowText" lastClr="000000"/>
              </a:solidFill>
              <a:latin typeface="+mn-ea"/>
              <a:ea typeface="+mn-ea"/>
            </a:endParaRPr>
          </a:p>
        </xdr:txBody>
      </xdr:sp>
      <xdr:sp textlink="">
        <xdr:nvSpPr>
          <xdr:cNvPr id="6" name="テキスト ボックス 5"/>
          <xdr:cNvSpPr txBox="1"/>
        </xdr:nvSpPr>
        <xdr:spPr>
          <a:xfrm>
            <a:off x="11843657" y="2991650"/>
            <a:ext cx="270513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年間燃料消費量</a:t>
            </a:r>
            <a:r>
              <a:rPr lang="en-US" altLang="ja-JP" sz="1100" b="0" i="0" u="none" strike="noStrike">
                <a:solidFill>
                  <a:sysClr val="windowText" lastClr="000000"/>
                </a:solidFill>
                <a:effectLst/>
                <a:latin typeface="+mn-ea"/>
                <a:ea typeface="+mn-ea"/>
                <a:cs typeface="+mn-cs"/>
              </a:rPr>
              <a:t>(F=A×n×b)</a:t>
            </a:r>
            <a:endParaRPr lang="en-US" altLang="ja-JP">
              <a:solidFill>
                <a:sysClr val="windowText" lastClr="000000"/>
              </a:solidFill>
              <a:latin typeface="+mn-ea"/>
              <a:ea typeface="+mn-ea"/>
            </a:endParaRPr>
          </a:p>
        </xdr:txBody>
      </xdr:sp>
    </xdr:grpSp>
    <xdr:clientData/>
  </xdr:twoCellAnchor>
  <xdr:twoCellAnchor>
    <xdr:from>
      <xdr:col>3</xdr:col>
      <xdr:colOff>98613</xdr:colOff>
      <xdr:row>10</xdr:row>
      <xdr:rowOff>161364</xdr:rowOff>
    </xdr:from>
    <xdr:to>
      <xdr:col>9</xdr:col>
      <xdr:colOff>663389</xdr:colOff>
      <xdr:row>12</xdr:row>
      <xdr:rowOff>100289</xdr:rowOff>
    </xdr:to>
    <xdr:sp textlink="">
      <xdr:nvSpPr>
        <xdr:cNvPr id="7" name="テキスト ボックス 6"/>
        <xdr:cNvSpPr txBox="1"/>
      </xdr:nvSpPr>
      <xdr:spPr>
        <a:xfrm>
          <a:off x="2420472" y="2626658"/>
          <a:ext cx="5567082"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各設備シートで算定できない場合等にご利用ください。</a:t>
          </a:r>
          <a:endParaRPr kumimoji="1" lang="en-US" altLang="ja-JP" sz="16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92144</xdr:colOff>
      <xdr:row>18</xdr:row>
      <xdr:rowOff>145869</xdr:rowOff>
    </xdr:from>
    <xdr:to>
      <xdr:col>13</xdr:col>
      <xdr:colOff>662364</xdr:colOff>
      <xdr:row>20</xdr:row>
      <xdr:rowOff>62049</xdr:rowOff>
    </xdr:to>
    <xdr:sp textlink="">
      <xdr:nvSpPr>
        <xdr:cNvPr id="2" name="楕円 1"/>
        <xdr:cNvSpPr/>
      </xdr:nvSpPr>
      <xdr:spPr>
        <a:xfrm>
          <a:off x="9343720" y="5363328"/>
          <a:ext cx="570220" cy="38234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377254</xdr:colOff>
      <xdr:row>13</xdr:row>
      <xdr:rowOff>108473</xdr:rowOff>
    </xdr:from>
    <xdr:to>
      <xdr:col>13</xdr:col>
      <xdr:colOff>439944</xdr:colOff>
      <xdr:row>18</xdr:row>
      <xdr:rowOff>145869</xdr:rowOff>
    </xdr:to>
    <xdr:cxnSp macro="">
      <xdr:nvCxnSpPr>
        <xdr:cNvPr id="4" name="直線矢印コネクタ 3"/>
        <xdr:cNvCxnSpPr>
          <a:stCxn id="2" idx="0"/>
          <a:endCxn id="5" idx="4"/>
        </xdr:cNvCxnSpPr>
      </xdr:nvCxnSpPr>
      <xdr:spPr>
        <a:xfrm flipV="1">
          <a:off x="9628830" y="4160520"/>
          <a:ext cx="62690" cy="120280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153746</xdr:colOff>
      <xdr:row>11</xdr:row>
      <xdr:rowOff>184673</xdr:rowOff>
    </xdr:from>
    <xdr:to>
      <xdr:col>14</xdr:col>
      <xdr:colOff>8965</xdr:colOff>
      <xdr:row>13</xdr:row>
      <xdr:rowOff>108473</xdr:rowOff>
    </xdr:to>
    <xdr:sp textlink="">
      <xdr:nvSpPr>
        <xdr:cNvPr id="5" name="楕円 4"/>
        <xdr:cNvSpPr/>
      </xdr:nvSpPr>
      <xdr:spPr>
        <a:xfrm>
          <a:off x="9405322" y="3770555"/>
          <a:ext cx="572396" cy="3899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609601</xdr:colOff>
      <xdr:row>20</xdr:row>
      <xdr:rowOff>206188</xdr:rowOff>
    </xdr:from>
    <xdr:to>
      <xdr:col>16</xdr:col>
      <xdr:colOff>28811</xdr:colOff>
      <xdr:row>28</xdr:row>
      <xdr:rowOff>59937</xdr:rowOff>
    </xdr:to>
    <xdr:sp textlink="">
      <xdr:nvSpPr>
        <xdr:cNvPr id="7" name="テキスト ボックス 6"/>
        <xdr:cNvSpPr txBox="1"/>
      </xdr:nvSpPr>
      <xdr:spPr>
        <a:xfrm>
          <a:off x="6275295" y="5656729"/>
          <a:ext cx="5156622" cy="171840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・省エネモード、最高・最低能力等は用いないでください。</a:t>
          </a:r>
          <a:endParaRPr kumimoji="1" lang="en-US" altLang="ja-JP" sz="1100"/>
        </a:p>
        <a:p>
          <a:r>
            <a:rPr kumimoji="1" lang="ja-JP" altLang="en-US" sz="1100"/>
            <a:t>・一般的な定格電圧は</a:t>
          </a:r>
          <a:r>
            <a:rPr kumimoji="1" lang="en-US" altLang="ja-JP" sz="1100"/>
            <a:t>100V</a:t>
          </a:r>
          <a:r>
            <a:rPr kumimoji="1" lang="ja-JP" altLang="en-US" sz="1100"/>
            <a:t>ですが、工場等で</a:t>
          </a:r>
          <a:r>
            <a:rPr kumimoji="1" lang="en-US" altLang="ja-JP" sz="1100"/>
            <a:t>200V</a:t>
          </a:r>
          <a:r>
            <a:rPr kumimoji="1" lang="ja-JP" altLang="en-US" sz="1100"/>
            <a:t>等の場合は、該当する電圧の定格能力で算定してください。</a:t>
          </a:r>
          <a:endParaRPr kumimoji="1" lang="en-US" altLang="ja-JP" sz="1100"/>
        </a:p>
        <a:p>
          <a:r>
            <a:rPr kumimoji="1" lang="ja-JP" altLang="en-US" sz="1100"/>
            <a:t>・数量</a:t>
          </a:r>
          <a:r>
            <a:rPr kumimoji="1" lang="en-US" altLang="ja-JP" sz="1100"/>
            <a:t>(n)</a:t>
          </a:r>
          <a:r>
            <a:rPr kumimoji="1" lang="ja-JP" altLang="en-US" sz="1100"/>
            <a:t>の増加は原則認められません。（やむを得ない事情がある場合は事務局へご相談ください。）</a:t>
          </a:r>
        </a:p>
      </xdr:txBody>
    </xdr:sp>
    <xdr:clientData/>
  </xdr:twoCellAnchor>
  <xdr:twoCellAnchor>
    <xdr:from>
      <xdr:col>5</xdr:col>
      <xdr:colOff>17927</xdr:colOff>
      <xdr:row>13</xdr:row>
      <xdr:rowOff>224117</xdr:rowOff>
    </xdr:from>
    <xdr:to>
      <xdr:col>10</xdr:col>
      <xdr:colOff>573741</xdr:colOff>
      <xdr:row>18</xdr:row>
      <xdr:rowOff>134470</xdr:rowOff>
    </xdr:to>
    <xdr:sp textlink="">
      <xdr:nvSpPr>
        <xdr:cNvPr id="8" name="テキスト ボックス 7"/>
        <xdr:cNvSpPr txBox="1"/>
      </xdr:nvSpPr>
      <xdr:spPr>
        <a:xfrm>
          <a:off x="3532092" y="4276164"/>
          <a:ext cx="4141696" cy="107576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●日点灯時間及び年間使用日数は、実際に設備を点灯している時間</a:t>
          </a:r>
          <a:r>
            <a:rPr kumimoji="1" lang="ja-JP" altLang="en-US" sz="1100">
              <a:solidFill>
                <a:sysClr val="windowText" lastClr="000000"/>
              </a:solidFill>
            </a:rPr>
            <a:t>及び日数を記載してください。</a:t>
          </a:r>
          <a:endParaRPr kumimoji="1" lang="en-US" altLang="ja-JP" sz="1100">
            <a:solidFill>
              <a:sysClr val="windowText" lastClr="000000"/>
            </a:solidFill>
          </a:endParaRPr>
        </a:p>
        <a:p>
          <a:r>
            <a:rPr kumimoji="1" lang="ja-JP" altLang="en-US" sz="1100">
              <a:solidFill>
                <a:sysClr val="windowText" lastClr="000000"/>
              </a:solidFill>
            </a:rPr>
            <a:t>例：</a:t>
          </a:r>
          <a:r>
            <a:rPr kumimoji="1" lang="en-US" altLang="ja-JP" sz="1100" u="sng">
              <a:solidFill>
                <a:sysClr val="windowText" lastClr="000000"/>
              </a:solidFill>
            </a:rPr>
            <a:t>8</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×250</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2000</a:t>
          </a:r>
          <a:r>
            <a:rPr kumimoji="1" lang="ja-JP" altLang="en-US" sz="1100"/>
            <a:t>時間</a:t>
          </a:r>
          <a:r>
            <a:rPr kumimoji="1" lang="en-US" altLang="ja-JP" sz="1100"/>
            <a:t>/</a:t>
          </a:r>
          <a:r>
            <a:rPr kumimoji="1" lang="ja-JP" altLang="en-US" sz="1100"/>
            <a:t>年（年間点灯時間等、色なしのセルは自動計算されます。）</a:t>
          </a:r>
        </a:p>
      </xdr:txBody>
    </xdr:sp>
    <xdr:clientData/>
  </xdr:twoCellAnchor>
  <xdr:twoCellAnchor>
    <xdr:from>
      <xdr:col>6</xdr:col>
      <xdr:colOff>26671</xdr:colOff>
      <xdr:row>13</xdr:row>
      <xdr:rowOff>83820</xdr:rowOff>
    </xdr:from>
    <xdr:to>
      <xdr:col>6</xdr:col>
      <xdr:colOff>161365</xdr:colOff>
      <xdr:row>16</xdr:row>
      <xdr:rowOff>53788</xdr:rowOff>
    </xdr:to>
    <xdr:cxnSp macro="">
      <xdr:nvCxnSpPr>
        <xdr:cNvPr id="10" name="直線矢印コネクタ 9"/>
        <xdr:cNvCxnSpPr>
          <a:endCxn id="11" idx="4"/>
        </xdr:cNvCxnSpPr>
      </xdr:nvCxnSpPr>
      <xdr:spPr>
        <a:xfrm flipH="1" flipV="1">
          <a:off x="4258012" y="4135867"/>
          <a:ext cx="134694" cy="6692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30480</xdr:colOff>
      <xdr:row>11</xdr:row>
      <xdr:rowOff>160020</xdr:rowOff>
    </xdr:from>
    <xdr:to>
      <xdr:col>7</xdr:col>
      <xdr:colOff>22860</xdr:colOff>
      <xdr:row>13</xdr:row>
      <xdr:rowOff>83820</xdr:rowOff>
    </xdr:to>
    <xdr:sp textlink="">
      <xdr:nvSpPr>
        <xdr:cNvPr id="11" name="楕円 10"/>
        <xdr:cNvSpPr/>
      </xdr:nvSpPr>
      <xdr:spPr>
        <a:xfrm>
          <a:off x="3543300" y="1394460"/>
          <a:ext cx="142494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689834</xdr:colOff>
      <xdr:row>45</xdr:row>
      <xdr:rowOff>225013</xdr:rowOff>
    </xdr:from>
    <xdr:to>
      <xdr:col>17</xdr:col>
      <xdr:colOff>439718</xdr:colOff>
      <xdr:row>49</xdr:row>
      <xdr:rowOff>225013</xdr:rowOff>
    </xdr:to>
    <xdr:sp textlink="">
      <xdr:nvSpPr>
        <xdr:cNvPr id="26" name="正方形/長方形 25"/>
        <xdr:cNvSpPr/>
      </xdr:nvSpPr>
      <xdr:spPr>
        <a:xfrm>
          <a:off x="12092940" y="9763460"/>
          <a:ext cx="467060" cy="93232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699246</xdr:colOff>
      <xdr:row>40</xdr:row>
      <xdr:rowOff>197224</xdr:rowOff>
    </xdr:from>
    <xdr:to>
      <xdr:col>18</xdr:col>
      <xdr:colOff>35859</xdr:colOff>
      <xdr:row>42</xdr:row>
      <xdr:rowOff>35859</xdr:rowOff>
    </xdr:to>
    <xdr:sp textlink="">
      <xdr:nvSpPr>
        <xdr:cNvPr id="27" name="正方形/長方形 26"/>
        <xdr:cNvSpPr/>
      </xdr:nvSpPr>
      <xdr:spPr>
        <a:xfrm>
          <a:off x="9950822" y="8570259"/>
          <a:ext cx="2922496"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680870</xdr:colOff>
      <xdr:row>43</xdr:row>
      <xdr:rowOff>198119</xdr:rowOff>
    </xdr:from>
    <xdr:to>
      <xdr:col>18</xdr:col>
      <xdr:colOff>72166</xdr:colOff>
      <xdr:row>45</xdr:row>
      <xdr:rowOff>54684</xdr:rowOff>
    </xdr:to>
    <xdr:sp textlink="">
      <xdr:nvSpPr>
        <xdr:cNvPr id="28" name="正方形/長方形 27"/>
        <xdr:cNvSpPr/>
      </xdr:nvSpPr>
      <xdr:spPr>
        <a:xfrm>
          <a:off x="12083976" y="9270401"/>
          <a:ext cx="825649" cy="32273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699247</xdr:colOff>
      <xdr:row>40</xdr:row>
      <xdr:rowOff>224117</xdr:rowOff>
    </xdr:from>
    <xdr:to>
      <xdr:col>21</xdr:col>
      <xdr:colOff>53788</xdr:colOff>
      <xdr:row>42</xdr:row>
      <xdr:rowOff>53789</xdr:rowOff>
    </xdr:to>
    <xdr:sp textlink="">
      <xdr:nvSpPr>
        <xdr:cNvPr id="29" name="正方形/長方形 28"/>
        <xdr:cNvSpPr/>
      </xdr:nvSpPr>
      <xdr:spPr>
        <a:xfrm>
          <a:off x="13536706" y="8597152"/>
          <a:ext cx="1506070" cy="29583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125506</xdr:colOff>
      <xdr:row>42</xdr:row>
      <xdr:rowOff>98611</xdr:rowOff>
    </xdr:from>
    <xdr:to>
      <xdr:col>17</xdr:col>
      <xdr:colOff>618565</xdr:colOff>
      <xdr:row>43</xdr:row>
      <xdr:rowOff>161364</xdr:rowOff>
    </xdr:to>
    <xdr:sp textlink="">
      <xdr:nvSpPr>
        <xdr:cNvPr id="30" name="下矢印 29"/>
        <xdr:cNvSpPr/>
      </xdr:nvSpPr>
      <xdr:spPr>
        <a:xfrm rot="10800000">
          <a:off x="11707906" y="8937811"/>
          <a:ext cx="493059" cy="295835"/>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647700</xdr:colOff>
      <xdr:row>50</xdr:row>
      <xdr:rowOff>8966</xdr:rowOff>
    </xdr:from>
    <xdr:to>
      <xdr:col>17</xdr:col>
      <xdr:colOff>399379</xdr:colOff>
      <xdr:row>52</xdr:row>
      <xdr:rowOff>53341</xdr:rowOff>
    </xdr:to>
    <xdr:sp textlink="">
      <xdr:nvSpPr>
        <xdr:cNvPr id="31" name="楕円 30"/>
        <xdr:cNvSpPr/>
      </xdr:nvSpPr>
      <xdr:spPr>
        <a:xfrm>
          <a:off x="12050806" y="10712825"/>
          <a:ext cx="468855" cy="51054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304800</xdr:colOff>
      <xdr:row>46</xdr:row>
      <xdr:rowOff>17929</xdr:rowOff>
    </xdr:from>
    <xdr:to>
      <xdr:col>13</xdr:col>
      <xdr:colOff>681317</xdr:colOff>
      <xdr:row>50</xdr:row>
      <xdr:rowOff>125506</xdr:rowOff>
    </xdr:to>
    <xdr:sp textlink="">
      <xdr:nvSpPr>
        <xdr:cNvPr id="32" name="テキスト ボックス 31"/>
        <xdr:cNvSpPr txBox="1"/>
      </xdr:nvSpPr>
      <xdr:spPr>
        <a:xfrm>
          <a:off x="5970494" y="12595411"/>
          <a:ext cx="3962399" cy="10399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14</xdr:col>
      <xdr:colOff>0</xdr:colOff>
      <xdr:row>53</xdr:row>
      <xdr:rowOff>17929</xdr:rowOff>
    </xdr:from>
    <xdr:to>
      <xdr:col>19</xdr:col>
      <xdr:colOff>717175</xdr:colOff>
      <xdr:row>55</xdr:row>
      <xdr:rowOff>143435</xdr:rowOff>
    </xdr:to>
    <xdr:sp textlink="">
      <xdr:nvSpPr>
        <xdr:cNvPr id="33" name="テキスト ボックス 32"/>
        <xdr:cNvSpPr txBox="1"/>
      </xdr:nvSpPr>
      <xdr:spPr>
        <a:xfrm>
          <a:off x="9968753" y="11421035"/>
          <a:ext cx="4303057" cy="591671"/>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17</xdr:col>
      <xdr:colOff>0</xdr:colOff>
      <xdr:row>52</xdr:row>
      <xdr:rowOff>53341</xdr:rowOff>
    </xdr:from>
    <xdr:to>
      <xdr:col>17</xdr:col>
      <xdr:colOff>164952</xdr:colOff>
      <xdr:row>53</xdr:row>
      <xdr:rowOff>17929</xdr:rowOff>
    </xdr:to>
    <xdr:cxnSp macro="">
      <xdr:nvCxnSpPr>
        <xdr:cNvPr id="35" name="直線矢印コネクタ 34"/>
        <xdr:cNvCxnSpPr>
          <a:stCxn id="33" idx="0"/>
          <a:endCxn id="31" idx="4"/>
        </xdr:cNvCxnSpPr>
      </xdr:nvCxnSpPr>
      <xdr:spPr>
        <a:xfrm flipV="1">
          <a:off x="12120282" y="11223365"/>
          <a:ext cx="164952" cy="1976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588682</xdr:colOff>
      <xdr:row>0</xdr:row>
      <xdr:rowOff>71719</xdr:rowOff>
    </xdr:from>
    <xdr:to>
      <xdr:col>8</xdr:col>
      <xdr:colOff>319741</xdr:colOff>
      <xdr:row>8</xdr:row>
      <xdr:rowOff>134471</xdr:rowOff>
    </xdr:to>
    <xdr:sp textlink="">
      <xdr:nvSpPr>
        <xdr:cNvPr id="46" name="テキスト ボックス 45"/>
        <xdr:cNvSpPr txBox="1"/>
      </xdr:nvSpPr>
      <xdr:spPr>
        <a:xfrm>
          <a:off x="1261035" y="71719"/>
          <a:ext cx="4728882" cy="23188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・仕様書等が手元にない場合は、メーカー</a:t>
          </a:r>
          <a:r>
            <a:rPr kumimoji="1" lang="en-US" altLang="ja-JP" sz="1100"/>
            <a:t>HP</a:t>
          </a:r>
          <a:r>
            <a:rPr kumimoji="1" lang="ja-JP" altLang="en-US" sz="1100"/>
            <a:t>等から収集してください。</a:t>
          </a:r>
          <a:endParaRPr kumimoji="1" lang="en-US" altLang="ja-JP" sz="1100"/>
        </a:p>
        <a:p>
          <a:r>
            <a:rPr kumimoji="1" lang="ja-JP" altLang="en-US" sz="1100"/>
            <a:t>・仕様書等が用意できない場合は、次の方法等で確認し、根拠資料（仕様書等の代わり）を用意してください。</a:t>
          </a:r>
          <a:endParaRPr kumimoji="1" lang="en-US" altLang="ja-JP" sz="1100"/>
        </a:p>
        <a:p>
          <a:endParaRPr kumimoji="1" lang="en-US" altLang="ja-JP" sz="1100"/>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→光源（蛍光灯等）に記載のワット数から算定する（ワット数が読み取れる写真を撮影し、根拠資料として提出する。）</a:t>
          </a:r>
          <a:endParaRPr kumimoji="1" lang="en-US" altLang="ja-JP" sz="1100"/>
        </a:p>
      </xdr:txBody>
    </xdr:sp>
    <xdr:clientData/>
  </xdr:twoCellAnchor>
  <xdr:twoCellAnchor>
    <xdr:from>
      <xdr:col>3</xdr:col>
      <xdr:colOff>537885</xdr:colOff>
      <xdr:row>8</xdr:row>
      <xdr:rowOff>134471</xdr:rowOff>
    </xdr:from>
    <xdr:to>
      <xdr:col>5</xdr:col>
      <xdr:colOff>106829</xdr:colOff>
      <xdr:row>11</xdr:row>
      <xdr:rowOff>134470</xdr:rowOff>
    </xdr:to>
    <xdr:cxnSp macro="">
      <xdr:nvCxnSpPr>
        <xdr:cNvPr id="51" name="直線矢印コネクタ 50"/>
        <xdr:cNvCxnSpPr>
          <a:stCxn id="46" idx="2"/>
          <a:endCxn id="52" idx="0"/>
        </xdr:cNvCxnSpPr>
      </xdr:nvCxnSpPr>
      <xdr:spPr>
        <a:xfrm flipH="1">
          <a:off x="2622179" y="2390589"/>
          <a:ext cx="1003297" cy="109070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251014</xdr:colOff>
      <xdr:row>11</xdr:row>
      <xdr:rowOff>134470</xdr:rowOff>
    </xdr:from>
    <xdr:to>
      <xdr:col>4</xdr:col>
      <xdr:colOff>107578</xdr:colOff>
      <xdr:row>13</xdr:row>
      <xdr:rowOff>143436</xdr:rowOff>
    </xdr:to>
    <xdr:sp textlink="">
      <xdr:nvSpPr>
        <xdr:cNvPr id="52" name="楕円 51"/>
        <xdr:cNvSpPr/>
      </xdr:nvSpPr>
      <xdr:spPr>
        <a:xfrm>
          <a:off x="2330826" y="3720352"/>
          <a:ext cx="573740" cy="47513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569259</xdr:colOff>
      <xdr:row>8</xdr:row>
      <xdr:rowOff>8964</xdr:rowOff>
    </xdr:from>
    <xdr:to>
      <xdr:col>18</xdr:col>
      <xdr:colOff>0</xdr:colOff>
      <xdr:row>10</xdr:row>
      <xdr:rowOff>0</xdr:rowOff>
    </xdr:to>
    <xdr:cxnSp macro="">
      <xdr:nvCxnSpPr>
        <xdr:cNvPr id="57" name="直線矢印コネクタ 56"/>
        <xdr:cNvCxnSpPr>
          <a:stCxn id="69" idx="2"/>
          <a:endCxn id="53" idx="0"/>
        </xdr:cNvCxnSpPr>
      </xdr:nvCxnSpPr>
      <xdr:spPr>
        <a:xfrm>
          <a:off x="12689541" y="2510117"/>
          <a:ext cx="147918" cy="4572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134470</xdr:colOff>
      <xdr:row>41</xdr:row>
      <xdr:rowOff>116541</xdr:rowOff>
    </xdr:from>
    <xdr:to>
      <xdr:col>13</xdr:col>
      <xdr:colOff>699246</xdr:colOff>
      <xdr:row>46</xdr:row>
      <xdr:rowOff>17929</xdr:rowOff>
    </xdr:to>
    <xdr:cxnSp macro="">
      <xdr:nvCxnSpPr>
        <xdr:cNvPr id="62" name="直線矢印コネクタ 61"/>
        <xdr:cNvCxnSpPr>
          <a:stCxn id="32" idx="0"/>
          <a:endCxn id="27" idx="1"/>
        </xdr:cNvCxnSpPr>
      </xdr:nvCxnSpPr>
      <xdr:spPr>
        <a:xfrm flipV="1">
          <a:off x="7951694" y="11528612"/>
          <a:ext cx="1999128" cy="10667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319206</xdr:colOff>
      <xdr:row>20</xdr:row>
      <xdr:rowOff>6056</xdr:rowOff>
    </xdr:from>
    <xdr:to>
      <xdr:col>13</xdr:col>
      <xdr:colOff>175651</xdr:colOff>
      <xdr:row>20</xdr:row>
      <xdr:rowOff>206188</xdr:rowOff>
    </xdr:to>
    <xdr:cxnSp macro="">
      <xdr:nvCxnSpPr>
        <xdr:cNvPr id="34" name="直線矢印コネクタ 33"/>
        <xdr:cNvCxnSpPr>
          <a:stCxn id="7" idx="0"/>
          <a:endCxn id="2" idx="3"/>
        </xdr:cNvCxnSpPr>
      </xdr:nvCxnSpPr>
      <xdr:spPr>
        <a:xfrm flipV="1">
          <a:off x="8853606" y="5456597"/>
          <a:ext cx="573621" cy="200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134470</xdr:colOff>
      <xdr:row>41</xdr:row>
      <xdr:rowOff>138953</xdr:rowOff>
    </xdr:from>
    <xdr:to>
      <xdr:col>18</xdr:col>
      <xdr:colOff>699247</xdr:colOff>
      <xdr:row>46</xdr:row>
      <xdr:rowOff>17929</xdr:rowOff>
    </xdr:to>
    <xdr:cxnSp macro="">
      <xdr:nvCxnSpPr>
        <xdr:cNvPr id="37" name="直線矢印コネクタ 36"/>
        <xdr:cNvCxnSpPr>
          <a:stCxn id="32" idx="0"/>
          <a:endCxn id="29" idx="1"/>
        </xdr:cNvCxnSpPr>
      </xdr:nvCxnSpPr>
      <xdr:spPr>
        <a:xfrm flipV="1">
          <a:off x="7951694" y="11551024"/>
          <a:ext cx="5585012" cy="10443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286871</xdr:colOff>
      <xdr:row>29</xdr:row>
      <xdr:rowOff>80683</xdr:rowOff>
    </xdr:from>
    <xdr:to>
      <xdr:col>12</xdr:col>
      <xdr:colOff>519955</xdr:colOff>
      <xdr:row>34</xdr:row>
      <xdr:rowOff>53789</xdr:rowOff>
    </xdr:to>
    <xdr:sp textlink="">
      <xdr:nvSpPr>
        <xdr:cNvPr id="40" name="テキスト ボックス 39"/>
        <xdr:cNvSpPr txBox="1"/>
      </xdr:nvSpPr>
      <xdr:spPr>
        <a:xfrm>
          <a:off x="2366683" y="7862048"/>
          <a:ext cx="6687672" cy="127298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a:t>
          </a:r>
          <a:r>
            <a:rPr kumimoji="1" lang="en-US" altLang="ja-JP" sz="1100"/>
            <a:t>40</a:t>
          </a:r>
          <a:r>
            <a:rPr kumimoji="1" lang="ja-JP" altLang="en-US" sz="1100"/>
            <a:t>％を参考値とします。負荷率を把握していない場合は、そのまま算定してください。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703725</xdr:colOff>
      <xdr:row>31</xdr:row>
      <xdr:rowOff>116542</xdr:rowOff>
    </xdr:from>
    <xdr:to>
      <xdr:col>3</xdr:col>
      <xdr:colOff>286871</xdr:colOff>
      <xdr:row>34</xdr:row>
      <xdr:rowOff>44225</xdr:rowOff>
    </xdr:to>
    <xdr:cxnSp macro="">
      <xdr:nvCxnSpPr>
        <xdr:cNvPr id="41" name="直線矢印コネクタ 40"/>
        <xdr:cNvCxnSpPr>
          <a:stCxn id="40" idx="1"/>
          <a:endCxn id="42" idx="7"/>
        </xdr:cNvCxnSpPr>
      </xdr:nvCxnSpPr>
      <xdr:spPr>
        <a:xfrm flipH="1">
          <a:off x="2066360" y="8498542"/>
          <a:ext cx="300323" cy="62693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215154</xdr:colOff>
      <xdr:row>33</xdr:row>
      <xdr:rowOff>197223</xdr:rowOff>
    </xdr:from>
    <xdr:to>
      <xdr:col>3</xdr:col>
      <xdr:colOff>70373</xdr:colOff>
      <xdr:row>36</xdr:row>
      <xdr:rowOff>26895</xdr:rowOff>
    </xdr:to>
    <xdr:sp textlink="">
      <xdr:nvSpPr>
        <xdr:cNvPr id="42" name="楕円 41"/>
        <xdr:cNvSpPr/>
      </xdr:nvSpPr>
      <xdr:spPr>
        <a:xfrm>
          <a:off x="1577789" y="6445623"/>
          <a:ext cx="572396" cy="5468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10</xdr:row>
      <xdr:rowOff>0</xdr:rowOff>
    </xdr:from>
    <xdr:to>
      <xdr:col>9</xdr:col>
      <xdr:colOff>0</xdr:colOff>
      <xdr:row>13</xdr:row>
      <xdr:rowOff>0</xdr:rowOff>
    </xdr:to>
    <xdr:sp textlink="">
      <xdr:nvSpPr>
        <xdr:cNvPr id="47" name="正方形/長方形 46"/>
        <xdr:cNvSpPr/>
      </xdr:nvSpPr>
      <xdr:spPr>
        <a:xfrm>
          <a:off x="4948518" y="2967318"/>
          <a:ext cx="1434353" cy="108472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xdr:row>
      <xdr:rowOff>0</xdr:rowOff>
    </xdr:from>
    <xdr:to>
      <xdr:col>19</xdr:col>
      <xdr:colOff>0</xdr:colOff>
      <xdr:row>13</xdr:row>
      <xdr:rowOff>0</xdr:rowOff>
    </xdr:to>
    <xdr:sp textlink="">
      <xdr:nvSpPr>
        <xdr:cNvPr id="53" name="正方形/長方形 52"/>
        <xdr:cNvSpPr/>
      </xdr:nvSpPr>
      <xdr:spPr>
        <a:xfrm>
          <a:off x="12120282" y="2967318"/>
          <a:ext cx="1434353" cy="108472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8</xdr:row>
      <xdr:rowOff>8965</xdr:rowOff>
    </xdr:from>
    <xdr:to>
      <xdr:col>11</xdr:col>
      <xdr:colOff>443753</xdr:colOff>
      <xdr:row>10</xdr:row>
      <xdr:rowOff>0</xdr:rowOff>
    </xdr:to>
    <xdr:cxnSp macro="">
      <xdr:nvCxnSpPr>
        <xdr:cNvPr id="63" name="直線矢印コネクタ 62"/>
        <xdr:cNvCxnSpPr>
          <a:stCxn id="23" idx="2"/>
          <a:endCxn id="47" idx="0"/>
        </xdr:cNvCxnSpPr>
      </xdr:nvCxnSpPr>
      <xdr:spPr>
        <a:xfrm flipH="1">
          <a:off x="5665695" y="2510118"/>
          <a:ext cx="2595282" cy="457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385483</xdr:colOff>
      <xdr:row>0</xdr:row>
      <xdr:rowOff>179294</xdr:rowOff>
    </xdr:from>
    <xdr:to>
      <xdr:col>20</xdr:col>
      <xdr:colOff>627529</xdr:colOff>
      <xdr:row>8</xdr:row>
      <xdr:rowOff>8965</xdr:rowOff>
    </xdr:to>
    <xdr:grpSp>
      <xdr:nvGrpSpPr>
        <xdr:cNvPr id="75" name="グループ化 74"/>
        <xdr:cNvGrpSpPr/>
      </xdr:nvGrpSpPr>
      <xdr:grpSpPr>
        <a:xfrm>
          <a:off x="6067826" y="179294"/>
          <a:ext cx="8863532" cy="2083014"/>
          <a:chOff x="5253318" y="385482"/>
          <a:chExt cx="8848164" cy="2097742"/>
        </a:xfrm>
      </xdr:grpSpPr>
      <xdr:sp textlink="">
        <xdr:nvSpPr>
          <xdr:cNvPr id="23" name="テキスト ボックス 22"/>
          <xdr:cNvSpPr txBox="1"/>
        </xdr:nvSpPr>
        <xdr:spPr>
          <a:xfrm>
            <a:off x="5253318" y="385482"/>
            <a:ext cx="4419600" cy="209774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●人感センサ等が導入されている、又は更新により導入する場合</a:t>
            </a:r>
            <a:endParaRPr kumimoji="1" lang="en-US" altLang="ja-JP" sz="1100"/>
          </a:p>
          <a:p>
            <a:endParaRPr kumimoji="1" lang="en-US" altLang="ja-JP" sz="1100"/>
          </a:p>
          <a:p>
            <a:r>
              <a:rPr kumimoji="1" lang="ja-JP" altLang="en-US" sz="1100"/>
              <a:t>・人感センサの列で「○」を選択してください。</a:t>
            </a:r>
            <a:r>
              <a:rPr kumimoji="1" lang="ja-JP" altLang="ja-JP" sz="1100">
                <a:solidFill>
                  <a:schemeClr val="dk1"/>
                </a:solidFill>
                <a:effectLst/>
                <a:latin typeface="+mn-lt"/>
                <a:ea typeface="+mn-ea"/>
                <a:cs typeface="+mn-cs"/>
              </a:rPr>
              <a:t>点灯率のセルが入力色に変わります。</a:t>
            </a:r>
            <a:r>
              <a:rPr kumimoji="1" lang="ja-JP" altLang="en-US" sz="1100"/>
              <a:t>点灯率のセルに点灯率を入力してください。</a:t>
            </a:r>
            <a:endParaRPr kumimoji="1" lang="en-US" altLang="ja-JP" sz="1100"/>
          </a:p>
          <a:p>
            <a:endParaRPr kumimoji="1" lang="en-US" altLang="ja-JP" sz="1100"/>
          </a:p>
          <a:p>
            <a:r>
              <a:rPr kumimoji="1" lang="en-US" altLang="ja-JP" sz="1100"/>
              <a:t>※</a:t>
            </a:r>
            <a:r>
              <a:rPr kumimoji="1" lang="ja-JP" altLang="en-US" sz="1100"/>
              <a:t>点灯率は人感センサ等による自動制御のみ考慮します。人による運用対策（昼休み中に職員が消灯して</a:t>
            </a:r>
            <a:r>
              <a:rPr kumimoji="1" lang="en-US" altLang="ja-JP" sz="1100"/>
              <a:t>90</a:t>
            </a:r>
            <a:r>
              <a:rPr kumimoji="1" lang="ja-JP" altLang="en-US" sz="1100"/>
              <a:t>％）等は含みません。</a:t>
            </a:r>
            <a:endParaRPr kumimoji="1" lang="en-US" altLang="ja-JP" sz="1100"/>
          </a:p>
        </xdr:txBody>
      </xdr:sp>
      <xdr:sp textlink="">
        <xdr:nvSpPr>
          <xdr:cNvPr id="69" name="テキスト ボックス 68"/>
          <xdr:cNvSpPr txBox="1"/>
        </xdr:nvSpPr>
        <xdr:spPr>
          <a:xfrm>
            <a:off x="9681882" y="385482"/>
            <a:ext cx="4419600" cy="209774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●点灯率の根拠資料について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grpSp>
    <xdr:clientData/>
  </xdr:twoCellAnchor>
  <xdr:twoCellAnchor>
    <xdr:from>
      <xdr:col>0</xdr:col>
      <xdr:colOff>636494</xdr:colOff>
      <xdr:row>43</xdr:row>
      <xdr:rowOff>152400</xdr:rowOff>
    </xdr:from>
    <xdr:to>
      <xdr:col>7</xdr:col>
      <xdr:colOff>690282</xdr:colOff>
      <xdr:row>53</xdr:row>
      <xdr:rowOff>161364</xdr:rowOff>
    </xdr:to>
    <xdr:sp textlink="">
      <xdr:nvSpPr>
        <xdr:cNvPr id="98" name="テキスト ボックス 97"/>
        <xdr:cNvSpPr txBox="1"/>
      </xdr:nvSpPr>
      <xdr:spPr>
        <a:xfrm>
          <a:off x="636494" y="12030635"/>
          <a:ext cx="5002306" cy="233978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3</xdr:col>
      <xdr:colOff>713835</xdr:colOff>
      <xdr:row>42</xdr:row>
      <xdr:rowOff>90442</xdr:rowOff>
    </xdr:from>
    <xdr:to>
      <xdr:col>4</xdr:col>
      <xdr:colOff>340659</xdr:colOff>
      <xdr:row>43</xdr:row>
      <xdr:rowOff>152400</xdr:rowOff>
    </xdr:to>
    <xdr:cxnSp macro="">
      <xdr:nvCxnSpPr>
        <xdr:cNvPr id="99" name="直線矢印コネクタ 98"/>
        <xdr:cNvCxnSpPr>
          <a:stCxn id="98" idx="0"/>
          <a:endCxn id="100" idx="5"/>
        </xdr:cNvCxnSpPr>
      </xdr:nvCxnSpPr>
      <xdr:spPr>
        <a:xfrm flipH="1" flipV="1">
          <a:off x="2793647" y="11735595"/>
          <a:ext cx="344000" cy="2950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224117</xdr:colOff>
      <xdr:row>40</xdr:row>
      <xdr:rowOff>151057</xdr:rowOff>
    </xdr:from>
    <xdr:to>
      <xdr:col>4</xdr:col>
      <xdr:colOff>80681</xdr:colOff>
      <xdr:row>42</xdr:row>
      <xdr:rowOff>160023</xdr:rowOff>
    </xdr:to>
    <xdr:sp textlink="">
      <xdr:nvSpPr>
        <xdr:cNvPr id="100" name="楕円 99"/>
        <xdr:cNvSpPr/>
      </xdr:nvSpPr>
      <xdr:spPr>
        <a:xfrm>
          <a:off x="2303929" y="11330045"/>
          <a:ext cx="573740" cy="47513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71719</xdr:colOff>
      <xdr:row>40</xdr:row>
      <xdr:rowOff>116541</xdr:rowOff>
    </xdr:from>
    <xdr:to>
      <xdr:col>7</xdr:col>
      <xdr:colOff>699248</xdr:colOff>
      <xdr:row>42</xdr:row>
      <xdr:rowOff>125507</xdr:rowOff>
    </xdr:to>
    <xdr:sp textlink="">
      <xdr:nvSpPr>
        <xdr:cNvPr id="101" name="楕円 100"/>
        <xdr:cNvSpPr/>
      </xdr:nvSpPr>
      <xdr:spPr>
        <a:xfrm>
          <a:off x="4303060" y="11295529"/>
          <a:ext cx="1344706" cy="47513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224118</xdr:colOff>
      <xdr:row>34</xdr:row>
      <xdr:rowOff>116542</xdr:rowOff>
    </xdr:from>
    <xdr:to>
      <xdr:col>16</xdr:col>
      <xdr:colOff>224118</xdr:colOff>
      <xdr:row>36</xdr:row>
      <xdr:rowOff>215154</xdr:rowOff>
    </xdr:to>
    <xdr:sp textlink="">
      <xdr:nvSpPr>
        <xdr:cNvPr id="117" name="テキスト ボックス 116"/>
        <xdr:cNvSpPr txBox="1"/>
      </xdr:nvSpPr>
      <xdr:spPr>
        <a:xfrm>
          <a:off x="3738283" y="9197789"/>
          <a:ext cx="7888941" cy="582706"/>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●年間冷房（暖房）時間は、</a:t>
          </a:r>
          <a:r>
            <a:rPr kumimoji="1" lang="ja-JP" altLang="en-US" sz="1100"/>
            <a:t>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976</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ysClr val="windowText" lastClr="000000"/>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a:solidFill>
                <a:sysClr val="windowText" lastClr="000000"/>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en-US" altLang="ja-JP" sz="1100" u="sng">
              <a:solidFill>
                <a:sysClr val="windowText" lastClr="000000"/>
              </a:solidFill>
              <a:effectLst/>
              <a:latin typeface="+mn-lt"/>
              <a:ea typeface="+mn-ea"/>
              <a:cs typeface="+mn-cs"/>
            </a:rPr>
            <a:t>1448</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4</xdr:col>
      <xdr:colOff>340659</xdr:colOff>
      <xdr:row>42</xdr:row>
      <xdr:rowOff>55926</xdr:rowOff>
    </xdr:from>
    <xdr:to>
      <xdr:col>6</xdr:col>
      <xdr:colOff>268647</xdr:colOff>
      <xdr:row>43</xdr:row>
      <xdr:rowOff>152400</xdr:rowOff>
    </xdr:to>
    <xdr:cxnSp macro="">
      <xdr:nvCxnSpPr>
        <xdr:cNvPr id="122" name="直線矢印コネクタ 121"/>
        <xdr:cNvCxnSpPr>
          <a:stCxn id="98" idx="0"/>
          <a:endCxn id="101" idx="3"/>
        </xdr:cNvCxnSpPr>
      </xdr:nvCxnSpPr>
      <xdr:spPr>
        <a:xfrm flipV="1">
          <a:off x="3137647" y="11701079"/>
          <a:ext cx="1362341" cy="32955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32658</xdr:colOff>
      <xdr:row>20</xdr:row>
      <xdr:rowOff>226039</xdr:rowOff>
    </xdr:from>
    <xdr:to>
      <xdr:col>8</xdr:col>
      <xdr:colOff>385482</xdr:colOff>
      <xdr:row>28</xdr:row>
      <xdr:rowOff>75306</xdr:rowOff>
    </xdr:to>
    <xdr:sp textlink="">
      <xdr:nvSpPr>
        <xdr:cNvPr id="128" name="テキスト ボックス 127"/>
        <xdr:cNvSpPr txBox="1"/>
      </xdr:nvSpPr>
      <xdr:spPr>
        <a:xfrm>
          <a:off x="705011" y="5909663"/>
          <a:ext cx="5346165" cy="171392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■対象外設備の考え方</a:t>
          </a:r>
          <a:endParaRPr kumimoji="1" lang="en-US" altLang="ja-JP" sz="1100"/>
        </a:p>
        <a:p>
          <a:endParaRPr kumimoji="1" lang="en-US" altLang="ja-JP" sz="1100"/>
        </a:p>
        <a:p>
          <a:r>
            <a:rPr kumimoji="1" lang="ja-JP" altLang="en-US" sz="1100"/>
            <a:t>・現状の台数では暗いので、台数を増やして明るくしたい→対象外（増設）</a:t>
          </a:r>
          <a:endParaRPr kumimoji="1" lang="en-US" altLang="ja-JP" sz="1100"/>
        </a:p>
        <a:p>
          <a:r>
            <a:rPr kumimoji="1" lang="ja-JP" altLang="en-US" sz="1100"/>
            <a:t>・ダウンライトから同等以下の電力の</a:t>
          </a:r>
          <a:r>
            <a:rPr kumimoji="1" lang="en-US" altLang="ja-JP" sz="1100"/>
            <a:t>LED</a:t>
          </a:r>
          <a:r>
            <a:rPr kumimoji="1" lang="ja-JP" altLang="en-US" sz="1100"/>
            <a:t>スポットライトに更新して、効率よく照らしたい（設備の種類が変わる、消費電力・数量は増加しない）→対象（可）</a:t>
          </a:r>
          <a:endParaRPr kumimoji="1" lang="en-US" altLang="ja-JP" sz="1100"/>
        </a:p>
        <a:p>
          <a:r>
            <a:rPr kumimoji="1" lang="ja-JP" altLang="en-US" sz="1100"/>
            <a:t>・設備ごと交換ができない箇所をバイパス工事で</a:t>
          </a:r>
          <a:r>
            <a:rPr kumimoji="1" lang="en-US" altLang="ja-JP" sz="1100"/>
            <a:t>LED</a:t>
          </a:r>
          <a:r>
            <a:rPr kumimoji="1" lang="ja-JP" altLang="en-US" sz="1100"/>
            <a:t>へ光源交換したい→対象外（光源のみの交換）</a:t>
          </a:r>
          <a:endParaRPr kumimoji="1" lang="en-US" altLang="ja-JP" sz="1100"/>
        </a:p>
      </xdr:txBody>
    </xdr:sp>
    <xdr:clientData/>
  </xdr:twoCellAnchor>
  <xdr:twoCellAnchor>
    <xdr:from>
      <xdr:col>8</xdr:col>
      <xdr:colOff>506507</xdr:colOff>
      <xdr:row>36</xdr:row>
      <xdr:rowOff>98612</xdr:rowOff>
    </xdr:from>
    <xdr:to>
      <xdr:col>8</xdr:col>
      <xdr:colOff>645459</xdr:colOff>
      <xdr:row>40</xdr:row>
      <xdr:rowOff>152400</xdr:rowOff>
    </xdr:to>
    <xdr:cxnSp macro="">
      <xdr:nvCxnSpPr>
        <xdr:cNvPr id="129" name="直線矢印コネクタ 128"/>
        <xdr:cNvCxnSpPr>
          <a:endCxn id="130" idx="0"/>
        </xdr:cNvCxnSpPr>
      </xdr:nvCxnSpPr>
      <xdr:spPr>
        <a:xfrm flipH="1">
          <a:off x="6172201" y="9663953"/>
          <a:ext cx="138952" cy="16674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277907</xdr:colOff>
      <xdr:row>40</xdr:row>
      <xdr:rowOff>152400</xdr:rowOff>
    </xdr:from>
    <xdr:to>
      <xdr:col>9</xdr:col>
      <xdr:colOff>17930</xdr:colOff>
      <xdr:row>42</xdr:row>
      <xdr:rowOff>76200</xdr:rowOff>
    </xdr:to>
    <xdr:sp textlink="">
      <xdr:nvSpPr>
        <xdr:cNvPr id="130" name="楕円 129"/>
        <xdr:cNvSpPr/>
      </xdr:nvSpPr>
      <xdr:spPr>
        <a:xfrm>
          <a:off x="5943601" y="11331388"/>
          <a:ext cx="457200" cy="3899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286870</xdr:colOff>
      <xdr:row>40</xdr:row>
      <xdr:rowOff>143436</xdr:rowOff>
    </xdr:from>
    <xdr:to>
      <xdr:col>12</xdr:col>
      <xdr:colOff>26894</xdr:colOff>
      <xdr:row>42</xdr:row>
      <xdr:rowOff>67236</xdr:rowOff>
    </xdr:to>
    <xdr:sp textlink="">
      <xdr:nvSpPr>
        <xdr:cNvPr id="132" name="楕円 131"/>
        <xdr:cNvSpPr/>
      </xdr:nvSpPr>
      <xdr:spPr>
        <a:xfrm>
          <a:off x="8104094" y="11322424"/>
          <a:ext cx="457200" cy="3899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515470</xdr:colOff>
      <xdr:row>36</xdr:row>
      <xdr:rowOff>107577</xdr:rowOff>
    </xdr:from>
    <xdr:to>
      <xdr:col>13</xdr:col>
      <xdr:colOff>62753</xdr:colOff>
      <xdr:row>40</xdr:row>
      <xdr:rowOff>143436</xdr:rowOff>
    </xdr:to>
    <xdr:cxnSp macro="">
      <xdr:nvCxnSpPr>
        <xdr:cNvPr id="135" name="直線矢印コネクタ 134"/>
        <xdr:cNvCxnSpPr>
          <a:endCxn id="132" idx="0"/>
        </xdr:cNvCxnSpPr>
      </xdr:nvCxnSpPr>
      <xdr:spPr>
        <a:xfrm flipH="1">
          <a:off x="8332694" y="9672918"/>
          <a:ext cx="981635" cy="16495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218353</xdr:colOff>
      <xdr:row>13</xdr:row>
      <xdr:rowOff>179293</xdr:rowOff>
    </xdr:from>
    <xdr:to>
      <xdr:col>29</xdr:col>
      <xdr:colOff>403414</xdr:colOff>
      <xdr:row>28</xdr:row>
      <xdr:rowOff>89647</xdr:rowOff>
    </xdr:to>
    <xdr:grpSp>
      <xdr:nvGrpSpPr>
        <xdr:cNvPr id="171" name="グループ化 170"/>
        <xdr:cNvGrpSpPr/>
      </xdr:nvGrpSpPr>
      <xdr:grpSpPr>
        <a:xfrm>
          <a:off x="11648353" y="3967522"/>
          <a:ext cx="9220204" cy="3361125"/>
          <a:chOff x="14552917" y="4285129"/>
          <a:chExt cx="9194590" cy="3406589"/>
        </a:xfrm>
      </xdr:grpSpPr>
      <xdr:grpSp>
        <xdr:nvGrpSpPr>
          <xdr:cNvPr id="92" name="グループ化 91"/>
          <xdr:cNvGrpSpPr/>
        </xdr:nvGrpSpPr>
        <xdr:grpSpPr>
          <a:xfrm>
            <a:off x="14552917" y="4285129"/>
            <a:ext cx="9194590" cy="3406589"/>
            <a:chOff x="14552917" y="4285129"/>
            <a:chExt cx="9194590" cy="3406589"/>
          </a:xfrm>
        </xdr:grpSpPr>
        <xdr:sp textlink="">
          <xdr:nvSpPr>
            <xdr:cNvPr id="24" name="テキスト ボックス 23"/>
            <xdr:cNvSpPr txBox="1"/>
          </xdr:nvSpPr>
          <xdr:spPr>
            <a:xfrm>
              <a:off x="14552917" y="4285129"/>
              <a:ext cx="3008941" cy="3397624"/>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LED</a:t>
              </a:r>
              <a:r>
                <a:rPr kumimoji="1" lang="ja-JP" altLang="en-US" sz="1100">
                  <a:solidFill>
                    <a:schemeClr val="dk1"/>
                  </a:solidFill>
                  <a:effectLst/>
                  <a:latin typeface="+mn-lt"/>
                  <a:ea typeface="+mn-ea"/>
                  <a:cs typeface="+mn-cs"/>
                </a:rPr>
                <a:t>で申請する場合の関連提出物（例</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→審査で確認する点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・省エネ診断報告書・測定結果等</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a:t>
              </a:r>
              <a:r>
                <a:rPr kumimoji="1" lang="ja-JP" altLang="en-US" sz="1100">
                  <a:solidFill>
                    <a:schemeClr val="dk1"/>
                  </a:solidFill>
                  <a:effectLst/>
                  <a:latin typeface="+mn-lt"/>
                  <a:ea typeface="+mn-ea"/>
                  <a:cs typeface="+mn-cs"/>
                </a:rPr>
                <a:t>の消費電力を確認（設備全種分）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→人感センサの点灯率を確認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・更新前設備の仕様書</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→消費電力を確認（設備全種分）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更新前設備の</a:t>
              </a:r>
              <a:r>
                <a:rPr kumimoji="1" lang="ja-JP" altLang="en-US" sz="1100">
                  <a:solidFill>
                    <a:schemeClr val="dk1"/>
                  </a:solidFill>
                  <a:effectLst/>
                  <a:latin typeface="+mn-lt"/>
                  <a:ea typeface="+mn-ea"/>
                  <a:cs typeface="+mn-cs"/>
                </a:rPr>
                <a:t>ワット数が読み取れる写真</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→消費電力を確認（設備全種分）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・見積書</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数量</a:t>
              </a:r>
              <a:r>
                <a:rPr kumimoji="1" lang="ja-JP" altLang="ja-JP" sz="1100">
                  <a:solidFill>
                    <a:schemeClr val="dk1"/>
                  </a:solidFill>
                  <a:effectLst/>
                  <a:latin typeface="+mn-lt"/>
                  <a:ea typeface="+mn-ea"/>
                  <a:cs typeface="+mn-cs"/>
                </a:rPr>
                <a:t>を確認（</a:t>
              </a:r>
              <a:r>
                <a:rPr kumimoji="1" lang="ja-JP" altLang="en-US" sz="1100">
                  <a:solidFill>
                    <a:schemeClr val="dk1"/>
                  </a:solidFill>
                  <a:effectLst/>
                  <a:latin typeface="+mn-lt"/>
                  <a:ea typeface="+mn-ea"/>
                  <a:cs typeface="+mn-cs"/>
                </a:rPr>
                <a:t>全</a:t>
              </a:r>
              <a:r>
                <a:rPr kumimoji="1" lang="ja-JP" altLang="ja-JP" sz="1100">
                  <a:solidFill>
                    <a:schemeClr val="dk1"/>
                  </a:solidFill>
                  <a:effectLst/>
                  <a:latin typeface="+mn-lt"/>
                  <a:ea typeface="+mn-ea"/>
                  <a:cs typeface="+mn-cs"/>
                </a:rPr>
                <a:t>設備）</a:t>
              </a:r>
              <a:endParaRPr lang="ja-JP" altLang="ja-JP">
                <a:effectLst/>
              </a:endParaRPr>
            </a:p>
          </xdr:txBody>
        </xdr:sp>
        <xdr:sp textlink="">
          <xdr:nvSpPr>
            <xdr:cNvPr id="91" name="テキスト ボックス 90"/>
            <xdr:cNvSpPr txBox="1"/>
          </xdr:nvSpPr>
          <xdr:spPr>
            <a:xfrm>
              <a:off x="20726401" y="4285129"/>
              <a:ext cx="3021106" cy="3406589"/>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●必要項目の不足例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・省エネ診断等で更新前設備全種が診断されていない。（不足分の仕様書等を追加提出）</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・型番等の記載が見積書・仕様書等と異なる。（記載ミス、収集ミス等の確認と修正対応）</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・点灯率に記載があり、根拠資料が未提出（不足資料の追加提出）</a:t>
              </a:r>
              <a:endParaRPr lang="ja-JP" altLang="ja-JP">
                <a:effectLst/>
              </a:endParaRPr>
            </a:p>
          </xdr:txBody>
        </xdr:sp>
      </xdr:grpSp>
      <xdr:sp textlink="">
        <xdr:nvSpPr>
          <xdr:cNvPr id="169" name="テキスト ボックス 168"/>
          <xdr:cNvSpPr txBox="1"/>
        </xdr:nvSpPr>
        <xdr:spPr>
          <a:xfrm>
            <a:off x="17561854" y="4285129"/>
            <a:ext cx="3164543" cy="3397624"/>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LED</a:t>
            </a:r>
            <a:r>
              <a:rPr kumimoji="1" lang="ja-JP" altLang="en-US" sz="1100">
                <a:solidFill>
                  <a:schemeClr val="dk1"/>
                </a:solidFill>
                <a:effectLst/>
                <a:latin typeface="+mn-lt"/>
                <a:ea typeface="+mn-ea"/>
                <a:cs typeface="+mn-cs"/>
              </a:rPr>
              <a:t>で申請する場合の関連提出物（例</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a:t>
            </a:r>
            <a:r>
              <a:rPr kumimoji="1" lang="ja-JP" altLang="en-US" sz="1100">
                <a:solidFill>
                  <a:schemeClr val="dk1"/>
                </a:solidFill>
                <a:effectLst/>
                <a:latin typeface="+mn-lt"/>
                <a:ea typeface="+mn-ea"/>
                <a:cs typeface="+mn-cs"/>
              </a:rPr>
              <a:t>後</a:t>
            </a:r>
            <a:r>
              <a:rPr kumimoji="1" lang="ja-JP" altLang="ja-JP" sz="1100">
                <a:solidFill>
                  <a:schemeClr val="dk1"/>
                </a:solidFill>
                <a:effectLst/>
                <a:latin typeface="+mn-lt"/>
                <a:ea typeface="+mn-ea"/>
                <a:cs typeface="+mn-cs"/>
              </a:rPr>
              <a:t>設備の仕様書</a:t>
            </a:r>
            <a:endParaRPr lang="ja-JP" altLang="ja-JP">
              <a:effectLst/>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消費電力を確認（設備全種分）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・照明管理システム等の記録</a:t>
            </a:r>
            <a:endParaRPr lang="ja-JP" altLang="ja-JP">
              <a:effectLst/>
            </a:endParaRPr>
          </a:p>
          <a:p>
            <a:pPr eaLnBrk="1" fontAlgn="auto" latinLnBrk="0" hangingPunct="1"/>
            <a:r>
              <a:rPr kumimoji="1" lang="ja-JP" altLang="ja-JP" sz="1100">
                <a:solidFill>
                  <a:schemeClr val="dk1"/>
                </a:solidFill>
                <a:effectLst/>
                <a:latin typeface="+mn-lt"/>
                <a:ea typeface="+mn-ea"/>
                <a:cs typeface="+mn-cs"/>
              </a:rPr>
              <a:t>→点灯率を確認</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・メーカー等判断の点灯率が確認できる資料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点灯率を確認</a:t>
            </a:r>
            <a:endParaRPr lang="ja-JP" altLang="ja-JP">
              <a:effectLst/>
            </a:endParaRPr>
          </a:p>
        </xdr:txBody>
      </xdr:sp>
    </xdr:grpSp>
    <xdr:clientData/>
  </xdr:twoCellAnchor>
  <xdr:twoCellAnchor>
    <xdr:from>
      <xdr:col>20</xdr:col>
      <xdr:colOff>71717</xdr:colOff>
      <xdr:row>43</xdr:row>
      <xdr:rowOff>0</xdr:rowOff>
    </xdr:from>
    <xdr:to>
      <xdr:col>35</xdr:col>
      <xdr:colOff>41626</xdr:colOff>
      <xdr:row>57</xdr:row>
      <xdr:rowOff>44825</xdr:rowOff>
    </xdr:to>
    <xdr:grpSp>
      <xdr:nvGrpSpPr>
        <xdr:cNvPr id="172" name="グループ化 171"/>
        <xdr:cNvGrpSpPr/>
      </xdr:nvGrpSpPr>
      <xdr:grpSpPr>
        <a:xfrm>
          <a:off x="14375546" y="11527971"/>
          <a:ext cx="10180709" cy="3256111"/>
          <a:chOff x="14552917" y="4285128"/>
          <a:chExt cx="10144850" cy="3307978"/>
        </a:xfrm>
      </xdr:grpSpPr>
      <xdr:grpSp>
        <xdr:nvGrpSpPr>
          <xdr:cNvPr id="173" name="グループ化 172"/>
          <xdr:cNvGrpSpPr/>
        </xdr:nvGrpSpPr>
        <xdr:grpSpPr>
          <a:xfrm>
            <a:off x="14552917" y="4285128"/>
            <a:ext cx="10144850" cy="3307978"/>
            <a:chOff x="14552917" y="4285128"/>
            <a:chExt cx="10144850" cy="3307978"/>
          </a:xfrm>
        </xdr:grpSpPr>
        <xdr:sp textlink="">
          <xdr:nvSpPr>
            <xdr:cNvPr id="175" name="テキスト ボックス 174"/>
            <xdr:cNvSpPr txBox="1"/>
          </xdr:nvSpPr>
          <xdr:spPr>
            <a:xfrm>
              <a:off x="14552917" y="4285128"/>
              <a:ext cx="3558988" cy="3299011"/>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空調（電気）で申請する場合の関連提出物（例</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→審査で確認する点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・省エネ診断報告書・測定結果等</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→負荷率を確認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→台数を確認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a:t>
              </a:r>
              <a:r>
                <a:rPr kumimoji="1" lang="ja-JP" altLang="en-US" sz="1100">
                  <a:solidFill>
                    <a:schemeClr val="dk1"/>
                  </a:solidFill>
                  <a:effectLst/>
                  <a:latin typeface="+mn-lt"/>
                  <a:ea typeface="+mn-ea"/>
                  <a:cs typeface="+mn-cs"/>
                </a:rPr>
                <a:t>の定格能力・消費電力・稼働時間を確認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・更新前設備の仕様書</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→定格能力・消費電力を確認（設備全種分）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更新前設備の</a:t>
              </a:r>
              <a:r>
                <a:rPr kumimoji="1" lang="ja-JP" altLang="en-US" sz="1100">
                  <a:solidFill>
                    <a:schemeClr val="dk1"/>
                  </a:solidFill>
                  <a:effectLst/>
                  <a:latin typeface="+mn-lt"/>
                  <a:ea typeface="+mn-ea"/>
                  <a:cs typeface="+mn-cs"/>
                </a:rPr>
                <a:t>銘板等が読み取れる写真</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→定格能力・消費電力を確認（設備全種分）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sp textlink="">
          <xdr:nvSpPr>
            <xdr:cNvPr id="176" name="テキスト ボックス 175"/>
            <xdr:cNvSpPr txBox="1"/>
          </xdr:nvSpPr>
          <xdr:spPr>
            <a:xfrm>
              <a:off x="21676661" y="4285130"/>
              <a:ext cx="3021106" cy="3307976"/>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●必要項目の不足例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・省エネ診断等で更新前設備全種が診断されていない。（不足分の仕様書等を追加提出）</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・型番等の記載が見積書・仕様書等と異なる。（記載ミス、収集ミス等の確認と修正対応）</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・負荷率の変更があり、根拠資料が未提出（不足資料の追加提出）</a:t>
              </a:r>
              <a:endParaRPr lang="ja-JP" altLang="ja-JP">
                <a:effectLst/>
              </a:endParaRPr>
            </a:p>
          </xdr:txBody>
        </xdr:sp>
      </xdr:grpSp>
      <xdr:sp textlink="">
        <xdr:nvSpPr>
          <xdr:cNvPr id="174" name="テキスト ボックス 173"/>
          <xdr:cNvSpPr txBox="1"/>
        </xdr:nvSpPr>
        <xdr:spPr>
          <a:xfrm>
            <a:off x="18117665" y="4285128"/>
            <a:ext cx="3553226" cy="3299011"/>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●空調（電気）で申請する場合の関連提出物</a:t>
            </a:r>
            <a:r>
              <a:rPr kumimoji="1" lang="ja-JP" altLang="en-US" sz="1100">
                <a:solidFill>
                  <a:schemeClr val="dk1"/>
                </a:solidFill>
                <a:effectLst/>
                <a:latin typeface="+mn-lt"/>
                <a:ea typeface="+mn-ea"/>
                <a:cs typeface="+mn-cs"/>
              </a:rPr>
              <a:t>（例</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・見積書</a:t>
            </a:r>
            <a:endParaRPr lang="ja-JP" altLang="ja-JP">
              <a:effectLst/>
            </a:endParaRPr>
          </a:p>
          <a:p>
            <a:pPr eaLnBrk="1" fontAlgn="auto" latinLnBrk="0" hangingPunct="1"/>
            <a:r>
              <a:rPr kumimoji="1" lang="ja-JP" altLang="ja-JP" sz="1100">
                <a:solidFill>
                  <a:schemeClr val="dk1"/>
                </a:solidFill>
                <a:effectLst/>
                <a:latin typeface="+mn-lt"/>
                <a:ea typeface="+mn-ea"/>
                <a:cs typeface="+mn-cs"/>
              </a:rPr>
              <a:t>→数量を確認（全設備）</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a:t>
            </a:r>
            <a:r>
              <a:rPr kumimoji="1" lang="ja-JP" altLang="en-US" sz="1100">
                <a:solidFill>
                  <a:schemeClr val="dk1"/>
                </a:solidFill>
                <a:effectLst/>
                <a:latin typeface="+mn-lt"/>
                <a:ea typeface="+mn-ea"/>
                <a:cs typeface="+mn-cs"/>
              </a:rPr>
              <a:t>後</a:t>
            </a:r>
            <a:r>
              <a:rPr kumimoji="1" lang="ja-JP" altLang="ja-JP" sz="1100">
                <a:solidFill>
                  <a:schemeClr val="dk1"/>
                </a:solidFill>
                <a:effectLst/>
                <a:latin typeface="+mn-lt"/>
                <a:ea typeface="+mn-ea"/>
                <a:cs typeface="+mn-cs"/>
              </a:rPr>
              <a:t>設備の仕様書</a:t>
            </a:r>
            <a:endParaRPr lang="ja-JP" altLang="ja-JP">
              <a:effectLst/>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定格能力・消費電力を確認（設備全種分）</a:t>
            </a:r>
            <a:endParaRPr lang="ja-JP" altLang="ja-JP">
              <a:effectLst/>
            </a:endParaRPr>
          </a:p>
        </xdr:txBody>
      </xdr:sp>
    </xdr:grpSp>
    <xdr:clientData/>
  </xdr:twoCellAnchor>
  <xdr:twoCellAnchor>
    <xdr:from>
      <xdr:col>5</xdr:col>
      <xdr:colOff>528917</xdr:colOff>
      <xdr:row>60</xdr:row>
      <xdr:rowOff>62752</xdr:rowOff>
    </xdr:from>
    <xdr:to>
      <xdr:col>15</xdr:col>
      <xdr:colOff>44825</xdr:colOff>
      <xdr:row>65</xdr:row>
      <xdr:rowOff>35859</xdr:rowOff>
    </xdr:to>
    <xdr:sp textlink="">
      <xdr:nvSpPr>
        <xdr:cNvPr id="188" name="テキスト ボックス 187"/>
        <xdr:cNvSpPr txBox="1"/>
      </xdr:nvSpPr>
      <xdr:spPr>
        <a:xfrm>
          <a:off x="4043082" y="16306799"/>
          <a:ext cx="6687672" cy="127298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負荷率は</a:t>
          </a:r>
          <a:r>
            <a:rPr kumimoji="1" lang="en-US" altLang="ja-JP" sz="1100" u="sng">
              <a:solidFill>
                <a:sysClr val="windowText" lastClr="000000"/>
              </a:solidFill>
            </a:rPr>
            <a:t>40</a:t>
          </a:r>
          <a:r>
            <a:rPr kumimoji="1" lang="ja-JP" altLang="en-US" sz="1100" u="sng">
              <a:solidFill>
                <a:sysClr val="windowText" lastClr="000000"/>
              </a:solidFill>
            </a:rPr>
            <a:t>％</a:t>
          </a:r>
          <a:r>
            <a:rPr kumimoji="1" lang="ja-JP" altLang="en-US" sz="1100">
              <a:solidFill>
                <a:sysClr val="windowText" lastClr="000000"/>
              </a:solidFill>
            </a:rPr>
            <a:t>を</a:t>
          </a:r>
          <a:r>
            <a:rPr kumimoji="1" lang="ja-JP" altLang="en-US" sz="1100"/>
            <a:t>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703724</xdr:colOff>
      <xdr:row>62</xdr:row>
      <xdr:rowOff>98612</xdr:rowOff>
    </xdr:from>
    <xdr:to>
      <xdr:col>5</xdr:col>
      <xdr:colOff>528917</xdr:colOff>
      <xdr:row>65</xdr:row>
      <xdr:rowOff>28755</xdr:rowOff>
    </xdr:to>
    <xdr:cxnSp macro="">
      <xdr:nvCxnSpPr>
        <xdr:cNvPr id="189" name="直線矢印コネクタ 188"/>
        <xdr:cNvCxnSpPr>
          <a:stCxn id="188" idx="1"/>
          <a:endCxn id="190" idx="7"/>
        </xdr:cNvCxnSpPr>
      </xdr:nvCxnSpPr>
      <xdr:spPr>
        <a:xfrm flipH="1">
          <a:off x="2066359" y="16943294"/>
          <a:ext cx="1976723" cy="6293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215153</xdr:colOff>
      <xdr:row>64</xdr:row>
      <xdr:rowOff>180637</xdr:rowOff>
    </xdr:from>
    <xdr:to>
      <xdr:col>3</xdr:col>
      <xdr:colOff>70372</xdr:colOff>
      <xdr:row>67</xdr:row>
      <xdr:rowOff>17929</xdr:rowOff>
    </xdr:to>
    <xdr:sp textlink="">
      <xdr:nvSpPr>
        <xdr:cNvPr id="190" name="楕円 189"/>
        <xdr:cNvSpPr/>
      </xdr:nvSpPr>
      <xdr:spPr>
        <a:xfrm>
          <a:off x="1577788" y="16621908"/>
          <a:ext cx="572396" cy="55446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322729</xdr:colOff>
      <xdr:row>75</xdr:row>
      <xdr:rowOff>44824</xdr:rowOff>
    </xdr:from>
    <xdr:to>
      <xdr:col>12</xdr:col>
      <xdr:colOff>304800</xdr:colOff>
      <xdr:row>85</xdr:row>
      <xdr:rowOff>53787</xdr:rowOff>
    </xdr:to>
    <xdr:sp textlink="">
      <xdr:nvSpPr>
        <xdr:cNvPr id="191" name="テキスト ボックス 190"/>
        <xdr:cNvSpPr txBox="1"/>
      </xdr:nvSpPr>
      <xdr:spPr>
        <a:xfrm>
          <a:off x="3836894" y="19301012"/>
          <a:ext cx="5002306" cy="2339787"/>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7</xdr:col>
      <xdr:colOff>421340</xdr:colOff>
      <xdr:row>73</xdr:row>
      <xdr:rowOff>160023</xdr:rowOff>
    </xdr:from>
    <xdr:to>
      <xdr:col>8</xdr:col>
      <xdr:colOff>672353</xdr:colOff>
      <xdr:row>75</xdr:row>
      <xdr:rowOff>44824</xdr:rowOff>
    </xdr:to>
    <xdr:cxnSp macro="">
      <xdr:nvCxnSpPr>
        <xdr:cNvPr id="192" name="直線矢印コネクタ 191"/>
        <xdr:cNvCxnSpPr>
          <a:stCxn id="191" idx="0"/>
          <a:endCxn id="193" idx="4"/>
        </xdr:cNvCxnSpPr>
      </xdr:nvCxnSpPr>
      <xdr:spPr>
        <a:xfrm flipH="1" flipV="1">
          <a:off x="5369858" y="18950047"/>
          <a:ext cx="968189" cy="3509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206187</xdr:colOff>
      <xdr:row>71</xdr:row>
      <xdr:rowOff>151057</xdr:rowOff>
    </xdr:from>
    <xdr:to>
      <xdr:col>8</xdr:col>
      <xdr:colOff>636493</xdr:colOff>
      <xdr:row>73</xdr:row>
      <xdr:rowOff>160023</xdr:rowOff>
    </xdr:to>
    <xdr:sp textlink="">
      <xdr:nvSpPr>
        <xdr:cNvPr id="193" name="楕円 192"/>
        <xdr:cNvSpPr/>
      </xdr:nvSpPr>
      <xdr:spPr>
        <a:xfrm>
          <a:off x="4437528" y="18707998"/>
          <a:ext cx="1864659" cy="47513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215153</xdr:colOff>
      <xdr:row>71</xdr:row>
      <xdr:rowOff>152400</xdr:rowOff>
    </xdr:from>
    <xdr:to>
      <xdr:col>12</xdr:col>
      <xdr:colOff>708212</xdr:colOff>
      <xdr:row>73</xdr:row>
      <xdr:rowOff>80682</xdr:rowOff>
    </xdr:to>
    <xdr:sp textlink="">
      <xdr:nvSpPr>
        <xdr:cNvPr id="194" name="楕円 193"/>
        <xdr:cNvSpPr/>
      </xdr:nvSpPr>
      <xdr:spPr>
        <a:xfrm>
          <a:off x="7315200" y="19085859"/>
          <a:ext cx="1927412" cy="39444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672353</xdr:colOff>
      <xdr:row>73</xdr:row>
      <xdr:rowOff>22917</xdr:rowOff>
    </xdr:from>
    <xdr:to>
      <xdr:col>10</xdr:col>
      <xdr:colOff>497416</xdr:colOff>
      <xdr:row>75</xdr:row>
      <xdr:rowOff>44824</xdr:rowOff>
    </xdr:to>
    <xdr:cxnSp macro="">
      <xdr:nvCxnSpPr>
        <xdr:cNvPr id="195" name="直線矢印コネクタ 194"/>
        <xdr:cNvCxnSpPr>
          <a:stCxn id="191" idx="0"/>
          <a:endCxn id="194" idx="3"/>
        </xdr:cNvCxnSpPr>
      </xdr:nvCxnSpPr>
      <xdr:spPr>
        <a:xfrm flipV="1">
          <a:off x="6338047" y="19422541"/>
          <a:ext cx="1259416" cy="48807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528918</xdr:colOff>
      <xdr:row>65</xdr:row>
      <xdr:rowOff>116541</xdr:rowOff>
    </xdr:from>
    <xdr:to>
      <xdr:col>16</xdr:col>
      <xdr:colOff>528918</xdr:colOff>
      <xdr:row>67</xdr:row>
      <xdr:rowOff>215153</xdr:rowOff>
    </xdr:to>
    <xdr:sp textlink="">
      <xdr:nvSpPr>
        <xdr:cNvPr id="202" name="テキスト ボックス 201"/>
        <xdr:cNvSpPr txBox="1"/>
      </xdr:nvSpPr>
      <xdr:spPr>
        <a:xfrm>
          <a:off x="4043083" y="16790894"/>
          <a:ext cx="7888941" cy="582706"/>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●年間冷房（暖房）時間は、実際に設備を稼働している時間を記載してください。（根拠資料の提出は任意です。）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u="none">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1220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chemeClr val="dk1"/>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ja-JP" altLang="ja-JP" sz="1100">
              <a:solidFill>
                <a:sysClr val="windowText" lastClr="000000"/>
              </a:solidFill>
              <a:effectLst/>
              <a:latin typeface="+mn-lt"/>
              <a:ea typeface="+mn-ea"/>
              <a:cs typeface="+mn-cs"/>
            </a:rPr>
            <a:t>＝</a:t>
          </a:r>
          <a:r>
            <a:rPr kumimoji="1" lang="en-US" altLang="ja-JP" sz="1100" u="sng">
              <a:solidFill>
                <a:sysClr val="windowText" lastClr="000000"/>
              </a:solidFill>
              <a:effectLst/>
              <a:latin typeface="+mn-lt"/>
              <a:ea typeface="+mn-ea"/>
              <a:cs typeface="+mn-cs"/>
            </a:rPr>
            <a:t>1810</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9</xdr:col>
      <xdr:colOff>403411</xdr:colOff>
      <xdr:row>67</xdr:row>
      <xdr:rowOff>107577</xdr:rowOff>
    </xdr:from>
    <xdr:to>
      <xdr:col>9</xdr:col>
      <xdr:colOff>470648</xdr:colOff>
      <xdr:row>71</xdr:row>
      <xdr:rowOff>134469</xdr:rowOff>
    </xdr:to>
    <xdr:cxnSp macro="">
      <xdr:nvCxnSpPr>
        <xdr:cNvPr id="203" name="直線矢印コネクタ 202"/>
        <xdr:cNvCxnSpPr>
          <a:endCxn id="204" idx="0"/>
        </xdr:cNvCxnSpPr>
      </xdr:nvCxnSpPr>
      <xdr:spPr>
        <a:xfrm>
          <a:off x="6786282" y="17266024"/>
          <a:ext cx="67237" cy="14253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242048</xdr:colOff>
      <xdr:row>71</xdr:row>
      <xdr:rowOff>134469</xdr:rowOff>
    </xdr:from>
    <xdr:to>
      <xdr:col>9</xdr:col>
      <xdr:colOff>699248</xdr:colOff>
      <xdr:row>73</xdr:row>
      <xdr:rowOff>58269</xdr:rowOff>
    </xdr:to>
    <xdr:sp textlink="">
      <xdr:nvSpPr>
        <xdr:cNvPr id="204" name="楕円 203"/>
        <xdr:cNvSpPr/>
      </xdr:nvSpPr>
      <xdr:spPr>
        <a:xfrm>
          <a:off x="6624919" y="18691410"/>
          <a:ext cx="457200" cy="3899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295836</xdr:colOff>
      <xdr:row>71</xdr:row>
      <xdr:rowOff>206188</xdr:rowOff>
    </xdr:from>
    <xdr:to>
      <xdr:col>14</xdr:col>
      <xdr:colOff>35859</xdr:colOff>
      <xdr:row>73</xdr:row>
      <xdr:rowOff>129988</xdr:rowOff>
    </xdr:to>
    <xdr:sp textlink="">
      <xdr:nvSpPr>
        <xdr:cNvPr id="205" name="楕円 204"/>
        <xdr:cNvSpPr/>
      </xdr:nvSpPr>
      <xdr:spPr>
        <a:xfrm>
          <a:off x="9547412" y="18763129"/>
          <a:ext cx="457200" cy="38996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519953</xdr:colOff>
      <xdr:row>67</xdr:row>
      <xdr:rowOff>89647</xdr:rowOff>
    </xdr:from>
    <xdr:to>
      <xdr:col>13</xdr:col>
      <xdr:colOff>524436</xdr:colOff>
      <xdr:row>71</xdr:row>
      <xdr:rowOff>206188</xdr:rowOff>
    </xdr:to>
    <xdr:cxnSp macro="">
      <xdr:nvCxnSpPr>
        <xdr:cNvPr id="206" name="直線矢印コネクタ 205"/>
        <xdr:cNvCxnSpPr>
          <a:endCxn id="205" idx="0"/>
        </xdr:cNvCxnSpPr>
      </xdr:nvCxnSpPr>
      <xdr:spPr>
        <a:xfrm>
          <a:off x="9771529" y="17248094"/>
          <a:ext cx="4483" cy="15150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528919</xdr:colOff>
      <xdr:row>77</xdr:row>
      <xdr:rowOff>17929</xdr:rowOff>
    </xdr:from>
    <xdr:to>
      <xdr:col>16</xdr:col>
      <xdr:colOff>152401</xdr:colOff>
      <xdr:row>85</xdr:row>
      <xdr:rowOff>53787</xdr:rowOff>
    </xdr:to>
    <xdr:sp textlink="">
      <xdr:nvSpPr>
        <xdr:cNvPr id="209" name="テキスト ボックス 208"/>
        <xdr:cNvSpPr txBox="1"/>
      </xdr:nvSpPr>
      <xdr:spPr>
        <a:xfrm>
          <a:off x="9063319" y="19973364"/>
          <a:ext cx="2492188" cy="190051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16</xdr:col>
      <xdr:colOff>708210</xdr:colOff>
      <xdr:row>71</xdr:row>
      <xdr:rowOff>206189</xdr:rowOff>
    </xdr:from>
    <xdr:to>
      <xdr:col>22</xdr:col>
      <xdr:colOff>62753</xdr:colOff>
      <xdr:row>73</xdr:row>
      <xdr:rowOff>44824</xdr:rowOff>
    </xdr:to>
    <xdr:sp textlink="">
      <xdr:nvSpPr>
        <xdr:cNvPr id="210" name="正方形/長方形 209"/>
        <xdr:cNvSpPr/>
      </xdr:nvSpPr>
      <xdr:spPr>
        <a:xfrm>
          <a:off x="12111316" y="18763130"/>
          <a:ext cx="3657602"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645459</xdr:colOff>
      <xdr:row>71</xdr:row>
      <xdr:rowOff>215153</xdr:rowOff>
    </xdr:from>
    <xdr:to>
      <xdr:col>26</xdr:col>
      <xdr:colOff>44824</xdr:colOff>
      <xdr:row>73</xdr:row>
      <xdr:rowOff>44825</xdr:rowOff>
    </xdr:to>
    <xdr:sp textlink="">
      <xdr:nvSpPr>
        <xdr:cNvPr id="211" name="正方形/長方形 210"/>
        <xdr:cNvSpPr/>
      </xdr:nvSpPr>
      <xdr:spPr>
        <a:xfrm>
          <a:off x="16351624" y="18772094"/>
          <a:ext cx="2088776" cy="29583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78</xdr:row>
      <xdr:rowOff>116541</xdr:rowOff>
    </xdr:from>
    <xdr:to>
      <xdr:col>17</xdr:col>
      <xdr:colOff>1</xdr:colOff>
      <xdr:row>81</xdr:row>
      <xdr:rowOff>35858</xdr:rowOff>
    </xdr:to>
    <xdr:cxnSp macro="">
      <xdr:nvCxnSpPr>
        <xdr:cNvPr id="212" name="直線矢印コネクタ 211"/>
        <xdr:cNvCxnSpPr>
          <a:stCxn id="209" idx="3"/>
          <a:endCxn id="246" idx="1"/>
        </xdr:cNvCxnSpPr>
      </xdr:nvCxnSpPr>
      <xdr:spPr>
        <a:xfrm flipV="1">
          <a:off x="11555507" y="20305059"/>
          <a:ext cx="564776" cy="6185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152401</xdr:colOff>
      <xdr:row>81</xdr:row>
      <xdr:rowOff>35858</xdr:rowOff>
    </xdr:from>
    <xdr:to>
      <xdr:col>17</xdr:col>
      <xdr:colOff>0</xdr:colOff>
      <xdr:row>84</xdr:row>
      <xdr:rowOff>116541</xdr:rowOff>
    </xdr:to>
    <xdr:cxnSp macro="">
      <xdr:nvCxnSpPr>
        <xdr:cNvPr id="213" name="直線矢印コネクタ 212"/>
        <xdr:cNvCxnSpPr>
          <a:stCxn id="209" idx="3"/>
          <a:endCxn id="247" idx="1"/>
        </xdr:cNvCxnSpPr>
      </xdr:nvCxnSpPr>
      <xdr:spPr>
        <a:xfrm>
          <a:off x="11555507" y="20923623"/>
          <a:ext cx="564775" cy="77993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215152</xdr:colOff>
      <xdr:row>73</xdr:row>
      <xdr:rowOff>215153</xdr:rowOff>
    </xdr:from>
    <xdr:to>
      <xdr:col>38</xdr:col>
      <xdr:colOff>274708</xdr:colOff>
      <xdr:row>92</xdr:row>
      <xdr:rowOff>26895</xdr:rowOff>
    </xdr:to>
    <xdr:grpSp>
      <xdr:nvGrpSpPr>
        <xdr:cNvPr id="223" name="グループ化 222"/>
        <xdr:cNvGrpSpPr/>
      </xdr:nvGrpSpPr>
      <xdr:grpSpPr>
        <a:xfrm>
          <a:off x="16630809" y="19395782"/>
          <a:ext cx="10183270" cy="4166027"/>
          <a:chOff x="14552917" y="4285128"/>
          <a:chExt cx="10144850" cy="3307978"/>
        </a:xfrm>
      </xdr:grpSpPr>
      <xdr:grpSp>
        <xdr:nvGrpSpPr>
          <xdr:cNvPr id="224" name="グループ化 223"/>
          <xdr:cNvGrpSpPr/>
        </xdr:nvGrpSpPr>
        <xdr:grpSpPr>
          <a:xfrm>
            <a:off x="14552917" y="4285128"/>
            <a:ext cx="10144850" cy="3307978"/>
            <a:chOff x="14552917" y="4285128"/>
            <a:chExt cx="10144850" cy="3307978"/>
          </a:xfrm>
        </xdr:grpSpPr>
        <xdr:sp textlink="">
          <xdr:nvSpPr>
            <xdr:cNvPr id="226" name="テキスト ボックス 225"/>
            <xdr:cNvSpPr txBox="1"/>
          </xdr:nvSpPr>
          <xdr:spPr>
            <a:xfrm>
              <a:off x="14552917" y="4285128"/>
              <a:ext cx="3558988" cy="3299011"/>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空調（</a:t>
              </a:r>
              <a:r>
                <a:rPr kumimoji="1" lang="en-US" altLang="ja-JP" sz="1100">
                  <a:solidFill>
                    <a:schemeClr val="dk1"/>
                  </a:solidFill>
                  <a:effectLst/>
                  <a:latin typeface="+mn-lt"/>
                  <a:ea typeface="+mn-ea"/>
                  <a:cs typeface="+mn-cs"/>
                </a:rPr>
                <a:t>GHP</a:t>
              </a:r>
              <a:r>
                <a:rPr kumimoji="1" lang="ja-JP" altLang="en-US" sz="1100">
                  <a:solidFill>
                    <a:schemeClr val="dk1"/>
                  </a:solidFill>
                  <a:effectLst/>
                  <a:latin typeface="+mn-lt"/>
                  <a:ea typeface="+mn-ea"/>
                  <a:cs typeface="+mn-cs"/>
                </a:rPr>
                <a:t>）で申請する場合の関連提出物（例</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→審査で確認する点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・省エネ診断報告書・測定結果等</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→負荷率を確認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→台数を確認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a:t>
              </a:r>
              <a:r>
                <a:rPr kumimoji="1" lang="ja-JP" altLang="en-US" sz="1100">
                  <a:solidFill>
                    <a:schemeClr val="dk1"/>
                  </a:solidFill>
                  <a:effectLst/>
                  <a:latin typeface="+mn-lt"/>
                  <a:ea typeface="+mn-ea"/>
                  <a:cs typeface="+mn-cs"/>
                </a:rPr>
                <a:t>の定格能力・消費電力・稼働時間を確認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・更新前設備の仕様書</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→定格能力・消費電力を確認（設備全種分）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更新前設備の</a:t>
              </a:r>
              <a:r>
                <a:rPr kumimoji="1" lang="ja-JP" altLang="en-US" sz="1100">
                  <a:solidFill>
                    <a:schemeClr val="dk1"/>
                  </a:solidFill>
                  <a:effectLst/>
                  <a:latin typeface="+mn-lt"/>
                  <a:ea typeface="+mn-ea"/>
                  <a:cs typeface="+mn-cs"/>
                </a:rPr>
                <a:t>銘板等が読み取れる写真</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→定格能力・消費電力を確認（設備全種分）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sp textlink="">
          <xdr:nvSpPr>
            <xdr:cNvPr id="227" name="テキスト ボックス 226"/>
            <xdr:cNvSpPr txBox="1"/>
          </xdr:nvSpPr>
          <xdr:spPr>
            <a:xfrm>
              <a:off x="21676661" y="4285130"/>
              <a:ext cx="3021106" cy="3307976"/>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●必要項目の不足例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・省エネ診断等で更新前設備全種が診断されていない。（不足分の仕様書等を追加提出）</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・型番等の記載が見積書・仕様書等と異なる。（記載ミス、収集ミス等の確認と修正対応）</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・負荷率の変更があり、根拠資料が未提出（不足資料の追加提出）</a:t>
              </a:r>
              <a:endParaRPr lang="ja-JP" altLang="ja-JP">
                <a:effectLst/>
              </a:endParaRPr>
            </a:p>
          </xdr:txBody>
        </xdr:sp>
      </xdr:grpSp>
      <xdr:sp textlink="">
        <xdr:nvSpPr>
          <xdr:cNvPr id="225" name="テキスト ボックス 224"/>
          <xdr:cNvSpPr txBox="1"/>
        </xdr:nvSpPr>
        <xdr:spPr>
          <a:xfrm>
            <a:off x="18117665" y="4285128"/>
            <a:ext cx="3553226" cy="3299011"/>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●空調（</a:t>
            </a:r>
            <a:r>
              <a:rPr kumimoji="1" lang="en-US" altLang="ja-JP" sz="1100">
                <a:solidFill>
                  <a:schemeClr val="dk1"/>
                </a:solidFill>
                <a:effectLst/>
                <a:latin typeface="+mn-lt"/>
                <a:ea typeface="+mn-ea"/>
                <a:cs typeface="+mn-cs"/>
              </a:rPr>
              <a:t>GHP</a:t>
            </a:r>
            <a:r>
              <a:rPr kumimoji="1" lang="ja-JP" altLang="ja-JP" sz="1100">
                <a:solidFill>
                  <a:schemeClr val="dk1"/>
                </a:solidFill>
                <a:effectLst/>
                <a:latin typeface="+mn-lt"/>
                <a:ea typeface="+mn-ea"/>
                <a:cs typeface="+mn-cs"/>
              </a:rPr>
              <a:t>）で申請する場合の関連提出物</a:t>
            </a:r>
            <a:r>
              <a:rPr kumimoji="1" lang="ja-JP" altLang="en-US" sz="1100">
                <a:solidFill>
                  <a:schemeClr val="dk1"/>
                </a:solidFill>
                <a:effectLst/>
                <a:latin typeface="+mn-lt"/>
                <a:ea typeface="+mn-ea"/>
                <a:cs typeface="+mn-cs"/>
              </a:rPr>
              <a:t>（例</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・見積書</a:t>
            </a:r>
            <a:endParaRPr lang="ja-JP" altLang="ja-JP">
              <a:effectLst/>
            </a:endParaRPr>
          </a:p>
          <a:p>
            <a:pPr eaLnBrk="1" fontAlgn="auto" latinLnBrk="0" hangingPunct="1"/>
            <a:r>
              <a:rPr kumimoji="1" lang="ja-JP" altLang="ja-JP" sz="1100">
                <a:solidFill>
                  <a:schemeClr val="dk1"/>
                </a:solidFill>
                <a:effectLst/>
                <a:latin typeface="+mn-lt"/>
                <a:ea typeface="+mn-ea"/>
                <a:cs typeface="+mn-cs"/>
              </a:rPr>
              <a:t>→数量を確認（全設備）</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a:t>
            </a:r>
            <a:r>
              <a:rPr kumimoji="1" lang="ja-JP" altLang="en-US" sz="1100">
                <a:solidFill>
                  <a:schemeClr val="dk1"/>
                </a:solidFill>
                <a:effectLst/>
                <a:latin typeface="+mn-lt"/>
                <a:ea typeface="+mn-ea"/>
                <a:cs typeface="+mn-cs"/>
              </a:rPr>
              <a:t>後</a:t>
            </a:r>
            <a:r>
              <a:rPr kumimoji="1" lang="ja-JP" altLang="ja-JP" sz="1100">
                <a:solidFill>
                  <a:schemeClr val="dk1"/>
                </a:solidFill>
                <a:effectLst/>
                <a:latin typeface="+mn-lt"/>
                <a:ea typeface="+mn-ea"/>
                <a:cs typeface="+mn-cs"/>
              </a:rPr>
              <a:t>設備の仕様書</a:t>
            </a:r>
            <a:endParaRPr lang="ja-JP" altLang="ja-JP">
              <a:effectLst/>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定格能力・消費電力を確認（設備全種分）</a:t>
            </a:r>
            <a:endParaRPr lang="ja-JP" altLang="ja-JP">
              <a:effectLst/>
            </a:endParaRPr>
          </a:p>
        </xdr:txBody>
      </xdr:sp>
    </xdr:grpSp>
    <xdr:clientData/>
  </xdr:twoCellAnchor>
  <xdr:twoCellAnchor>
    <xdr:from>
      <xdr:col>19</xdr:col>
      <xdr:colOff>680870</xdr:colOff>
      <xdr:row>74</xdr:row>
      <xdr:rowOff>198119</xdr:rowOff>
    </xdr:from>
    <xdr:to>
      <xdr:col>21</xdr:col>
      <xdr:colOff>72166</xdr:colOff>
      <xdr:row>76</xdr:row>
      <xdr:rowOff>54684</xdr:rowOff>
    </xdr:to>
    <xdr:sp textlink="">
      <xdr:nvSpPr>
        <xdr:cNvPr id="237" name="正方形/長方形 236"/>
        <xdr:cNvSpPr/>
      </xdr:nvSpPr>
      <xdr:spPr>
        <a:xfrm>
          <a:off x="12083976" y="12076354"/>
          <a:ext cx="825649" cy="32273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125506</xdr:colOff>
      <xdr:row>73</xdr:row>
      <xdr:rowOff>98611</xdr:rowOff>
    </xdr:from>
    <xdr:to>
      <xdr:col>20</xdr:col>
      <xdr:colOff>618565</xdr:colOff>
      <xdr:row>74</xdr:row>
      <xdr:rowOff>161364</xdr:rowOff>
    </xdr:to>
    <xdr:sp textlink="">
      <xdr:nvSpPr>
        <xdr:cNvPr id="238" name="下矢印 237"/>
        <xdr:cNvSpPr/>
      </xdr:nvSpPr>
      <xdr:spPr>
        <a:xfrm rot="10800000">
          <a:off x="12245788" y="11743764"/>
          <a:ext cx="493059" cy="295835"/>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367552</xdr:colOff>
      <xdr:row>89</xdr:row>
      <xdr:rowOff>53787</xdr:rowOff>
    </xdr:from>
    <xdr:to>
      <xdr:col>16</xdr:col>
      <xdr:colOff>295835</xdr:colOff>
      <xdr:row>91</xdr:row>
      <xdr:rowOff>224117</xdr:rowOff>
    </xdr:to>
    <xdr:sp textlink="">
      <xdr:nvSpPr>
        <xdr:cNvPr id="240" name="テキスト ボックス 239"/>
        <xdr:cNvSpPr txBox="1"/>
      </xdr:nvSpPr>
      <xdr:spPr>
        <a:xfrm>
          <a:off x="8184776" y="22806211"/>
          <a:ext cx="3514165" cy="636494"/>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16</xdr:col>
      <xdr:colOff>295835</xdr:colOff>
      <xdr:row>87</xdr:row>
      <xdr:rowOff>111834</xdr:rowOff>
    </xdr:from>
    <xdr:to>
      <xdr:col>17</xdr:col>
      <xdr:colOff>26894</xdr:colOff>
      <xdr:row>90</xdr:row>
      <xdr:rowOff>138952</xdr:rowOff>
    </xdr:to>
    <xdr:cxnSp macro="">
      <xdr:nvCxnSpPr>
        <xdr:cNvPr id="241" name="直線矢印コネクタ 240"/>
        <xdr:cNvCxnSpPr>
          <a:stCxn id="240" idx="3"/>
          <a:endCxn id="248" idx="2"/>
        </xdr:cNvCxnSpPr>
      </xdr:nvCxnSpPr>
      <xdr:spPr>
        <a:xfrm flipV="1">
          <a:off x="11698941" y="22398093"/>
          <a:ext cx="448235" cy="7263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20171</xdr:colOff>
      <xdr:row>80</xdr:row>
      <xdr:rowOff>98613</xdr:rowOff>
    </xdr:from>
    <xdr:to>
      <xdr:col>17</xdr:col>
      <xdr:colOff>699247</xdr:colOff>
      <xdr:row>82</xdr:row>
      <xdr:rowOff>142988</xdr:rowOff>
    </xdr:to>
    <xdr:sp textlink="">
      <xdr:nvSpPr>
        <xdr:cNvPr id="242" name="楕円 241"/>
        <xdr:cNvSpPr/>
      </xdr:nvSpPr>
      <xdr:spPr>
        <a:xfrm>
          <a:off x="12140453" y="20753295"/>
          <a:ext cx="679076" cy="51054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77</xdr:row>
      <xdr:rowOff>0</xdr:rowOff>
    </xdr:from>
    <xdr:to>
      <xdr:col>21</xdr:col>
      <xdr:colOff>1</xdr:colOff>
      <xdr:row>80</xdr:row>
      <xdr:rowOff>1</xdr:rowOff>
    </xdr:to>
    <xdr:sp textlink="">
      <xdr:nvSpPr>
        <xdr:cNvPr id="246" name="正方形/長方形 245"/>
        <xdr:cNvSpPr/>
      </xdr:nvSpPr>
      <xdr:spPr>
        <a:xfrm>
          <a:off x="12120283" y="19955435"/>
          <a:ext cx="2868706" cy="69924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83</xdr:row>
      <xdr:rowOff>0</xdr:rowOff>
    </xdr:from>
    <xdr:to>
      <xdr:col>21</xdr:col>
      <xdr:colOff>0</xdr:colOff>
      <xdr:row>86</xdr:row>
      <xdr:rowOff>1</xdr:rowOff>
    </xdr:to>
    <xdr:sp textlink="">
      <xdr:nvSpPr>
        <xdr:cNvPr id="247" name="正方形/長方形 246"/>
        <xdr:cNvSpPr/>
      </xdr:nvSpPr>
      <xdr:spPr>
        <a:xfrm>
          <a:off x="12120282" y="21353929"/>
          <a:ext cx="2868706" cy="69924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86</xdr:row>
      <xdr:rowOff>89647</xdr:rowOff>
    </xdr:from>
    <xdr:to>
      <xdr:col>17</xdr:col>
      <xdr:colOff>705970</xdr:colOff>
      <xdr:row>88</xdr:row>
      <xdr:rowOff>134022</xdr:rowOff>
    </xdr:to>
    <xdr:sp textlink="">
      <xdr:nvSpPr>
        <xdr:cNvPr id="248" name="楕円 247"/>
        <xdr:cNvSpPr/>
      </xdr:nvSpPr>
      <xdr:spPr>
        <a:xfrm>
          <a:off x="12147176" y="22142823"/>
          <a:ext cx="679076" cy="51054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89</xdr:row>
      <xdr:rowOff>89647</xdr:rowOff>
    </xdr:from>
    <xdr:to>
      <xdr:col>17</xdr:col>
      <xdr:colOff>705970</xdr:colOff>
      <xdr:row>91</xdr:row>
      <xdr:rowOff>134023</xdr:rowOff>
    </xdr:to>
    <xdr:sp textlink="">
      <xdr:nvSpPr>
        <xdr:cNvPr id="249" name="楕円 248"/>
        <xdr:cNvSpPr/>
      </xdr:nvSpPr>
      <xdr:spPr>
        <a:xfrm>
          <a:off x="12147176" y="22842071"/>
          <a:ext cx="679076" cy="51054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295835</xdr:colOff>
      <xdr:row>82</xdr:row>
      <xdr:rowOff>68221</xdr:rowOff>
    </xdr:from>
    <xdr:to>
      <xdr:col>17</xdr:col>
      <xdr:colOff>119619</xdr:colOff>
      <xdr:row>90</xdr:row>
      <xdr:rowOff>138952</xdr:rowOff>
    </xdr:to>
    <xdr:cxnSp macro="">
      <xdr:nvCxnSpPr>
        <xdr:cNvPr id="252" name="直線矢印コネクタ 251"/>
        <xdr:cNvCxnSpPr>
          <a:stCxn id="240" idx="3"/>
          <a:endCxn id="242" idx="3"/>
        </xdr:cNvCxnSpPr>
      </xdr:nvCxnSpPr>
      <xdr:spPr>
        <a:xfrm flipV="1">
          <a:off x="11698941" y="21189068"/>
          <a:ext cx="540960" cy="19353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295835</xdr:colOff>
      <xdr:row>90</xdr:row>
      <xdr:rowOff>111835</xdr:rowOff>
    </xdr:from>
    <xdr:to>
      <xdr:col>17</xdr:col>
      <xdr:colOff>26894</xdr:colOff>
      <xdr:row>90</xdr:row>
      <xdr:rowOff>138952</xdr:rowOff>
    </xdr:to>
    <xdr:cxnSp macro="">
      <xdr:nvCxnSpPr>
        <xdr:cNvPr id="256" name="直線矢印コネクタ 255"/>
        <xdr:cNvCxnSpPr>
          <a:stCxn id="240" idx="3"/>
          <a:endCxn id="249" idx="2"/>
        </xdr:cNvCxnSpPr>
      </xdr:nvCxnSpPr>
      <xdr:spPr>
        <a:xfrm flipV="1">
          <a:off x="11698941" y="23097341"/>
          <a:ext cx="448235" cy="271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215153</xdr:colOff>
      <xdr:row>94</xdr:row>
      <xdr:rowOff>8963</xdr:rowOff>
    </xdr:from>
    <xdr:to>
      <xdr:col>17</xdr:col>
      <xdr:colOff>331694</xdr:colOff>
      <xdr:row>102</xdr:row>
      <xdr:rowOff>80682</xdr:rowOff>
    </xdr:to>
    <xdr:sp textlink="">
      <xdr:nvSpPr>
        <xdr:cNvPr id="275" name="テキスト ボックス 274"/>
        <xdr:cNvSpPr txBox="1"/>
      </xdr:nvSpPr>
      <xdr:spPr>
        <a:xfrm>
          <a:off x="4446494" y="23828187"/>
          <a:ext cx="8005482" cy="1936377"/>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●仕様書等にある、定格能力等で算定してください。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・仕様書等が手元にない、能力で不明点がある場合は、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a:t>
          </a:r>
          <a:r>
            <a:rPr kumimoji="1" lang="ja-JP" altLang="en-US" sz="1100">
              <a:solidFill>
                <a:schemeClr val="dk1"/>
              </a:solidFill>
              <a:effectLst/>
              <a:latin typeface="+mn-lt"/>
              <a:ea typeface="+mn-ea"/>
              <a:cs typeface="+mn-cs"/>
            </a:rPr>
            <a:t>メーカーへ</a:t>
          </a:r>
          <a:r>
            <a:rPr kumimoji="1" lang="ja-JP" altLang="ja-JP" sz="1100">
              <a:solidFill>
                <a:schemeClr val="dk1"/>
              </a:solidFill>
              <a:effectLst/>
              <a:latin typeface="+mn-lt"/>
              <a:ea typeface="+mn-ea"/>
              <a:cs typeface="+mn-cs"/>
            </a:rPr>
            <a:t>問合せ</a:t>
          </a:r>
          <a:r>
            <a:rPr kumimoji="1" lang="ja-JP" altLang="en-US" sz="1100">
              <a:solidFill>
                <a:schemeClr val="dk1"/>
              </a:solidFill>
              <a:effectLst/>
              <a:latin typeface="+mn-lt"/>
              <a:ea typeface="+mn-ea"/>
              <a:cs typeface="+mn-cs"/>
            </a:rPr>
            <a:t>て</a:t>
          </a:r>
          <a:r>
            <a:rPr kumimoji="1" lang="ja-JP" altLang="ja-JP" sz="1100">
              <a:solidFill>
                <a:schemeClr val="dk1"/>
              </a:solidFill>
              <a:effectLst/>
              <a:latin typeface="+mn-lt"/>
              <a:ea typeface="+mn-ea"/>
              <a:cs typeface="+mn-cs"/>
            </a:rPr>
            <a:t>確認してください。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11</xdr:col>
      <xdr:colOff>658905</xdr:colOff>
      <xdr:row>102</xdr:row>
      <xdr:rowOff>80682</xdr:rowOff>
    </xdr:from>
    <xdr:to>
      <xdr:col>12</xdr:col>
      <xdr:colOff>197224</xdr:colOff>
      <xdr:row>109</xdr:row>
      <xdr:rowOff>0</xdr:rowOff>
    </xdr:to>
    <xdr:cxnSp macro="">
      <xdr:nvCxnSpPr>
        <xdr:cNvPr id="276" name="直線矢印コネクタ 275"/>
        <xdr:cNvCxnSpPr/>
      </xdr:nvCxnSpPr>
      <xdr:spPr>
        <a:xfrm>
          <a:off x="8476129" y="25764564"/>
          <a:ext cx="255495" cy="21425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358590</xdr:colOff>
      <xdr:row>108</xdr:row>
      <xdr:rowOff>197223</xdr:rowOff>
    </xdr:from>
    <xdr:to>
      <xdr:col>14</xdr:col>
      <xdr:colOff>179295</xdr:colOff>
      <xdr:row>110</xdr:row>
      <xdr:rowOff>53787</xdr:rowOff>
    </xdr:to>
    <xdr:sp textlink="">
      <xdr:nvSpPr>
        <xdr:cNvPr id="277" name="楕円 276"/>
        <xdr:cNvSpPr/>
      </xdr:nvSpPr>
      <xdr:spPr>
        <a:xfrm>
          <a:off x="7458637" y="27405105"/>
          <a:ext cx="2689411" cy="32272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573740</xdr:colOff>
      <xdr:row>103</xdr:row>
      <xdr:rowOff>35860</xdr:rowOff>
    </xdr:from>
    <xdr:to>
      <xdr:col>21</xdr:col>
      <xdr:colOff>304800</xdr:colOff>
      <xdr:row>105</xdr:row>
      <xdr:rowOff>170331</xdr:rowOff>
    </xdr:to>
    <xdr:sp textlink="">
      <xdr:nvSpPr>
        <xdr:cNvPr id="281" name="テキスト ボックス 280"/>
        <xdr:cNvSpPr txBox="1"/>
      </xdr:nvSpPr>
      <xdr:spPr>
        <a:xfrm>
          <a:off x="9108140" y="25486660"/>
          <a:ext cx="6185648" cy="600636"/>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●稼働時間及び年間使用日数は、実際に設備を点灯している時間及び日数を記載してください。</a:t>
          </a:r>
          <a:endParaRPr kumimoji="1" lang="en-US" altLang="ja-JP" sz="1100"/>
        </a:p>
        <a:p>
          <a:r>
            <a:rPr kumimoji="1" lang="ja-JP" altLang="en-US" sz="1100"/>
            <a:t>例：</a:t>
          </a:r>
          <a:r>
            <a:rPr kumimoji="1" lang="en-US" altLang="ja-JP" sz="1100" u="sng">
              <a:solidFill>
                <a:sysClr val="windowText" lastClr="000000"/>
              </a:solidFill>
            </a:rPr>
            <a:t>14</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×365</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5110</a:t>
          </a:r>
          <a:r>
            <a:rPr kumimoji="1" lang="ja-JP" altLang="en-US" sz="1100"/>
            <a:t>時間</a:t>
          </a:r>
          <a:r>
            <a:rPr kumimoji="1" lang="en-US" altLang="ja-JP" sz="1100"/>
            <a:t>/</a:t>
          </a:r>
          <a:r>
            <a:rPr kumimoji="1" lang="ja-JP" altLang="en-US" sz="1100"/>
            <a:t>年（年間稼働時間等、色なしのセルは自動計算されます。）</a:t>
          </a:r>
        </a:p>
      </xdr:txBody>
    </xdr:sp>
    <xdr:clientData/>
  </xdr:twoCellAnchor>
  <xdr:twoCellAnchor>
    <xdr:from>
      <xdr:col>15</xdr:col>
      <xdr:colOff>322731</xdr:colOff>
      <xdr:row>108</xdr:row>
      <xdr:rowOff>179294</xdr:rowOff>
    </xdr:from>
    <xdr:to>
      <xdr:col>17</xdr:col>
      <xdr:colOff>134472</xdr:colOff>
      <xdr:row>110</xdr:row>
      <xdr:rowOff>44824</xdr:rowOff>
    </xdr:to>
    <xdr:sp textlink="">
      <xdr:nvSpPr>
        <xdr:cNvPr id="282" name="楕円 281"/>
        <xdr:cNvSpPr/>
      </xdr:nvSpPr>
      <xdr:spPr>
        <a:xfrm>
          <a:off x="11008660" y="27387176"/>
          <a:ext cx="1246094" cy="3316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228601</xdr:colOff>
      <xdr:row>105</xdr:row>
      <xdr:rowOff>170331</xdr:rowOff>
    </xdr:from>
    <xdr:to>
      <xdr:col>17</xdr:col>
      <xdr:colOff>80682</xdr:colOff>
      <xdr:row>108</xdr:row>
      <xdr:rowOff>179294</xdr:rowOff>
    </xdr:to>
    <xdr:cxnSp macro="">
      <xdr:nvCxnSpPr>
        <xdr:cNvPr id="283" name="直線矢印コネクタ 282"/>
        <xdr:cNvCxnSpPr>
          <a:stCxn id="281" idx="2"/>
          <a:endCxn id="282" idx="0"/>
        </xdr:cNvCxnSpPr>
      </xdr:nvCxnSpPr>
      <xdr:spPr>
        <a:xfrm flipH="1">
          <a:off x="11631707" y="26087296"/>
          <a:ext cx="569257" cy="12998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35860</xdr:colOff>
      <xdr:row>110</xdr:row>
      <xdr:rowOff>197227</xdr:rowOff>
    </xdr:from>
    <xdr:to>
      <xdr:col>32</xdr:col>
      <xdr:colOff>355393</xdr:colOff>
      <xdr:row>123</xdr:row>
      <xdr:rowOff>206192</xdr:rowOff>
    </xdr:to>
    <xdr:grpSp>
      <xdr:nvGrpSpPr>
        <xdr:cNvPr id="287" name="グループ化 286"/>
        <xdr:cNvGrpSpPr/>
      </xdr:nvGrpSpPr>
      <xdr:grpSpPr>
        <a:xfrm>
          <a:off x="12184317" y="28717798"/>
          <a:ext cx="10660962" cy="2980765"/>
          <a:chOff x="14552917" y="4285129"/>
          <a:chExt cx="10628945" cy="2370833"/>
        </a:xfrm>
      </xdr:grpSpPr>
      <xdr:grpSp>
        <xdr:nvGrpSpPr>
          <xdr:cNvPr id="288" name="グループ化 287"/>
          <xdr:cNvGrpSpPr/>
        </xdr:nvGrpSpPr>
        <xdr:grpSpPr>
          <a:xfrm>
            <a:off x="14552917" y="4285129"/>
            <a:ext cx="10628945" cy="2370833"/>
            <a:chOff x="14552917" y="4285129"/>
            <a:chExt cx="10628945" cy="2370833"/>
          </a:xfrm>
        </xdr:grpSpPr>
        <xdr:sp textlink="">
          <xdr:nvSpPr>
            <xdr:cNvPr id="290" name="テキスト ボックス 289"/>
            <xdr:cNvSpPr txBox="1"/>
          </xdr:nvSpPr>
          <xdr:spPr>
            <a:xfrm>
              <a:off x="14552917" y="4285129"/>
              <a:ext cx="3827930" cy="2363839"/>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ボイラー・給湯器で申請する場合の関連提出物（例</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→審査で確認する点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・省エネ診断報告書・測定結果等</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更新前の燃料・能力・稼働時間等を確認</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→台数を確認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・更新前設備の仕様書</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→燃料・能力等を確認（設備全種分）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更新前設備の</a:t>
              </a:r>
              <a:r>
                <a:rPr kumimoji="1" lang="ja-JP" altLang="en-US" sz="1100">
                  <a:solidFill>
                    <a:schemeClr val="dk1"/>
                  </a:solidFill>
                  <a:effectLst/>
                  <a:latin typeface="+mn-lt"/>
                  <a:ea typeface="+mn-ea"/>
                  <a:cs typeface="+mn-cs"/>
                </a:rPr>
                <a:t>銘板等が読み取れる写真</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→燃料・能力</a:t>
              </a:r>
              <a:r>
                <a:rPr kumimoji="1" lang="ja-JP" altLang="en-US" sz="1100">
                  <a:solidFill>
                    <a:schemeClr val="dk1"/>
                  </a:solidFill>
                  <a:effectLst/>
                  <a:latin typeface="+mn-lt"/>
                  <a:ea typeface="+mn-ea"/>
                  <a:cs typeface="+mn-cs"/>
                </a:rPr>
                <a:t>等</a:t>
              </a:r>
              <a:r>
                <a:rPr kumimoji="1" lang="ja-JP" altLang="ja-JP" sz="1100">
                  <a:solidFill>
                    <a:schemeClr val="dk1"/>
                  </a:solidFill>
                  <a:effectLst/>
                  <a:latin typeface="+mn-lt"/>
                  <a:ea typeface="+mn-ea"/>
                  <a:cs typeface="+mn-cs"/>
                </a:rPr>
                <a:t>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sp textlink="">
          <xdr:nvSpPr>
            <xdr:cNvPr id="291" name="テキスト ボックス 290"/>
            <xdr:cNvSpPr txBox="1"/>
          </xdr:nvSpPr>
          <xdr:spPr>
            <a:xfrm>
              <a:off x="22160756" y="4285131"/>
              <a:ext cx="3021106" cy="2370831"/>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●必要項目の不足例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・省エネ診断等で更新前設備全種が診断されていない。（不足分の仕様書等を追加提出）</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・型番等の記載が見積書・仕様書等と異なる。（記載ミス、収集ミス等の確認と修正対応）</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定格加熱能力</a:t>
              </a:r>
              <a:r>
                <a:rPr kumimoji="1" lang="ja-JP" altLang="ja-JP" sz="1100">
                  <a:solidFill>
                    <a:schemeClr val="dk1"/>
                  </a:solidFill>
                  <a:effectLst/>
                  <a:latin typeface="+mn-lt"/>
                  <a:ea typeface="+mn-ea"/>
                  <a:cs typeface="+mn-cs"/>
                </a:rPr>
                <a:t>など未記載（メーカー等への確認要請、不足資料の追加提出）</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grpSp>
      <xdr:sp textlink="">
        <xdr:nvSpPr>
          <xdr:cNvPr id="289" name="テキスト ボックス 288"/>
          <xdr:cNvSpPr txBox="1"/>
        </xdr:nvSpPr>
        <xdr:spPr>
          <a:xfrm>
            <a:off x="18368676" y="4285129"/>
            <a:ext cx="3804240" cy="2363839"/>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●ボイラー・給湯器で申請する場合の関連提出物</a:t>
            </a:r>
            <a:r>
              <a:rPr kumimoji="1" lang="ja-JP" altLang="en-US" sz="1100">
                <a:solidFill>
                  <a:schemeClr val="dk1"/>
                </a:solidFill>
                <a:effectLst/>
                <a:latin typeface="+mn-lt"/>
                <a:ea typeface="+mn-ea"/>
                <a:cs typeface="+mn-cs"/>
              </a:rPr>
              <a:t>（例</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・見積書</a:t>
            </a:r>
            <a:endParaRPr lang="ja-JP" altLang="ja-JP">
              <a:effectLst/>
            </a:endParaRPr>
          </a:p>
          <a:p>
            <a:pPr eaLnBrk="1" fontAlgn="auto" latinLnBrk="0" hangingPunct="1"/>
            <a:r>
              <a:rPr kumimoji="1" lang="ja-JP" altLang="ja-JP" sz="1100">
                <a:solidFill>
                  <a:schemeClr val="dk1"/>
                </a:solidFill>
                <a:effectLst/>
                <a:latin typeface="+mn-lt"/>
                <a:ea typeface="+mn-ea"/>
                <a:cs typeface="+mn-cs"/>
              </a:rPr>
              <a:t>→数量を確認（全設備）</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a:t>
            </a:r>
            <a:r>
              <a:rPr kumimoji="1" lang="ja-JP" altLang="en-US" sz="1100">
                <a:solidFill>
                  <a:schemeClr val="dk1"/>
                </a:solidFill>
                <a:effectLst/>
                <a:latin typeface="+mn-lt"/>
                <a:ea typeface="+mn-ea"/>
                <a:cs typeface="+mn-cs"/>
              </a:rPr>
              <a:t>後</a:t>
            </a:r>
            <a:r>
              <a:rPr kumimoji="1" lang="ja-JP" altLang="ja-JP" sz="1100">
                <a:solidFill>
                  <a:schemeClr val="dk1"/>
                </a:solidFill>
                <a:effectLst/>
                <a:latin typeface="+mn-lt"/>
                <a:ea typeface="+mn-ea"/>
                <a:cs typeface="+mn-cs"/>
              </a:rPr>
              <a:t>設備の仕様書</a:t>
            </a:r>
            <a:endParaRPr lang="ja-JP" altLang="ja-JP">
              <a:effectLst/>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燃料・能力等を確認（設備全種分）</a:t>
            </a:r>
            <a:endParaRPr lang="ja-JP" altLang="ja-JP">
              <a:effectLst/>
            </a:endParaRPr>
          </a:p>
        </xdr:txBody>
      </xdr:sp>
    </xdr:grpSp>
    <xdr:clientData/>
  </xdr:twoCellAnchor>
  <xdr:twoCellAnchor>
    <xdr:from>
      <xdr:col>1</xdr:col>
      <xdr:colOff>573742</xdr:colOff>
      <xdr:row>126</xdr:row>
      <xdr:rowOff>80681</xdr:rowOff>
    </xdr:from>
    <xdr:to>
      <xdr:col>8</xdr:col>
      <xdr:colOff>484095</xdr:colOff>
      <xdr:row>137</xdr:row>
      <xdr:rowOff>134470</xdr:rowOff>
    </xdr:to>
    <xdr:sp textlink="">
      <xdr:nvSpPr>
        <xdr:cNvPr id="293" name="テキスト ボックス 292"/>
        <xdr:cNvSpPr txBox="1"/>
      </xdr:nvSpPr>
      <xdr:spPr>
        <a:xfrm>
          <a:off x="1246095" y="32882540"/>
          <a:ext cx="4903694" cy="261769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●仕様書等にある、定格出力等で算定してください。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5</xdr:col>
      <xdr:colOff>183777</xdr:colOff>
      <xdr:row>137</xdr:row>
      <xdr:rowOff>134470</xdr:rowOff>
    </xdr:from>
    <xdr:to>
      <xdr:col>7</xdr:col>
      <xdr:colOff>708212</xdr:colOff>
      <xdr:row>141</xdr:row>
      <xdr:rowOff>197223</xdr:rowOff>
    </xdr:to>
    <xdr:cxnSp macro="">
      <xdr:nvCxnSpPr>
        <xdr:cNvPr id="294" name="直線矢印コネクタ 293"/>
        <xdr:cNvCxnSpPr>
          <a:stCxn id="293" idx="2"/>
          <a:endCxn id="295" idx="0"/>
        </xdr:cNvCxnSpPr>
      </xdr:nvCxnSpPr>
      <xdr:spPr>
        <a:xfrm>
          <a:off x="3697942" y="35500235"/>
          <a:ext cx="1958788" cy="14522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690283</xdr:colOff>
      <xdr:row>141</xdr:row>
      <xdr:rowOff>197223</xdr:rowOff>
    </xdr:from>
    <xdr:to>
      <xdr:col>9</xdr:col>
      <xdr:colOff>8964</xdr:colOff>
      <xdr:row>143</xdr:row>
      <xdr:rowOff>71717</xdr:rowOff>
    </xdr:to>
    <xdr:sp textlink="">
      <xdr:nvSpPr>
        <xdr:cNvPr id="295" name="楕円 294"/>
        <xdr:cNvSpPr/>
      </xdr:nvSpPr>
      <xdr:spPr>
        <a:xfrm>
          <a:off x="4921624" y="36486352"/>
          <a:ext cx="1470211" cy="3406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663387</xdr:colOff>
      <xdr:row>141</xdr:row>
      <xdr:rowOff>188259</xdr:rowOff>
    </xdr:from>
    <xdr:to>
      <xdr:col>5</xdr:col>
      <xdr:colOff>134470</xdr:colOff>
      <xdr:row>143</xdr:row>
      <xdr:rowOff>62753</xdr:rowOff>
    </xdr:to>
    <xdr:sp textlink="">
      <xdr:nvSpPr>
        <xdr:cNvPr id="308" name="楕円 307"/>
        <xdr:cNvSpPr/>
      </xdr:nvSpPr>
      <xdr:spPr>
        <a:xfrm>
          <a:off x="1335740" y="36943553"/>
          <a:ext cx="2312895" cy="3406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412376</xdr:colOff>
      <xdr:row>137</xdr:row>
      <xdr:rowOff>134470</xdr:rowOff>
    </xdr:from>
    <xdr:to>
      <xdr:col>5</xdr:col>
      <xdr:colOff>183777</xdr:colOff>
      <xdr:row>141</xdr:row>
      <xdr:rowOff>188259</xdr:rowOff>
    </xdr:to>
    <xdr:cxnSp macro="">
      <xdr:nvCxnSpPr>
        <xdr:cNvPr id="309" name="直線矢印コネクタ 308"/>
        <xdr:cNvCxnSpPr>
          <a:stCxn id="293" idx="2"/>
          <a:endCxn id="308" idx="0"/>
        </xdr:cNvCxnSpPr>
      </xdr:nvCxnSpPr>
      <xdr:spPr>
        <a:xfrm flipH="1">
          <a:off x="2492188" y="35500235"/>
          <a:ext cx="1205754" cy="14433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142</xdr:row>
      <xdr:rowOff>0</xdr:rowOff>
    </xdr:from>
    <xdr:to>
      <xdr:col>11</xdr:col>
      <xdr:colOff>708211</xdr:colOff>
      <xdr:row>143</xdr:row>
      <xdr:rowOff>107576</xdr:rowOff>
    </xdr:to>
    <xdr:sp textlink="">
      <xdr:nvSpPr>
        <xdr:cNvPr id="312" name="楕円 311"/>
        <xdr:cNvSpPr/>
      </xdr:nvSpPr>
      <xdr:spPr>
        <a:xfrm>
          <a:off x="7817224" y="36988376"/>
          <a:ext cx="708211" cy="3406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690283</xdr:colOff>
      <xdr:row>126</xdr:row>
      <xdr:rowOff>80682</xdr:rowOff>
    </xdr:from>
    <xdr:to>
      <xdr:col>15</xdr:col>
      <xdr:colOff>89648</xdr:colOff>
      <xdr:row>135</xdr:row>
      <xdr:rowOff>125506</xdr:rowOff>
    </xdr:to>
    <xdr:sp textlink="">
      <xdr:nvSpPr>
        <xdr:cNvPr id="313" name="テキスト ボックス 312"/>
        <xdr:cNvSpPr txBox="1"/>
      </xdr:nvSpPr>
      <xdr:spPr>
        <a:xfrm>
          <a:off x="6355977" y="32882541"/>
          <a:ext cx="4419600" cy="214256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clientData/>
  </xdr:twoCellAnchor>
  <xdr:twoCellAnchor>
    <xdr:from>
      <xdr:col>11</xdr:col>
      <xdr:colOff>354106</xdr:colOff>
      <xdr:row>135</xdr:row>
      <xdr:rowOff>125506</xdr:rowOff>
    </xdr:from>
    <xdr:to>
      <xdr:col>12</xdr:col>
      <xdr:colOff>31377</xdr:colOff>
      <xdr:row>142</xdr:row>
      <xdr:rowOff>0</xdr:rowOff>
    </xdr:to>
    <xdr:cxnSp macro="">
      <xdr:nvCxnSpPr>
        <xdr:cNvPr id="314" name="直線矢印コネクタ 313"/>
        <xdr:cNvCxnSpPr>
          <a:stCxn id="313" idx="2"/>
          <a:endCxn id="312" idx="0"/>
        </xdr:cNvCxnSpPr>
      </xdr:nvCxnSpPr>
      <xdr:spPr>
        <a:xfrm flipH="1">
          <a:off x="8171330" y="35025106"/>
          <a:ext cx="394447" cy="19632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331693</xdr:colOff>
      <xdr:row>129</xdr:row>
      <xdr:rowOff>89646</xdr:rowOff>
    </xdr:from>
    <xdr:to>
      <xdr:col>23</xdr:col>
      <xdr:colOff>8963</xdr:colOff>
      <xdr:row>133</xdr:row>
      <xdr:rowOff>125506</xdr:rowOff>
    </xdr:to>
    <xdr:sp textlink="">
      <xdr:nvSpPr>
        <xdr:cNvPr id="317" name="テキスト ボックス 316"/>
        <xdr:cNvSpPr txBox="1"/>
      </xdr:nvSpPr>
      <xdr:spPr>
        <a:xfrm>
          <a:off x="11734799" y="32425340"/>
          <a:ext cx="4652682" cy="96819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●インバーターが導入されている、又は更新により導入する場合</a:t>
          </a:r>
          <a:endParaRPr kumimoji="1" lang="en-US" altLang="ja-JP" sz="1100"/>
        </a:p>
        <a:p>
          <a:endParaRPr kumimoji="1" lang="en-US" altLang="ja-JP" sz="1100"/>
        </a:p>
        <a:p>
          <a:r>
            <a:rPr kumimoji="1" lang="ja-JP" altLang="en-US" sz="1100"/>
            <a:t>・インバーターの列で「○」を選択してください。</a:t>
          </a:r>
          <a:endParaRPr kumimoji="1" lang="en-US" altLang="ja-JP" sz="1100"/>
        </a:p>
        <a:p>
          <a:r>
            <a:rPr kumimoji="1" lang="ja-JP" altLang="en-US" sz="1100"/>
            <a:t>（インバーターの負荷率制御を考慮した算定へ自動計算されます。）</a:t>
          </a:r>
          <a:endParaRPr kumimoji="1" lang="en-US" altLang="ja-JP" sz="1100"/>
        </a:p>
      </xdr:txBody>
    </xdr:sp>
    <xdr:clientData/>
  </xdr:twoCellAnchor>
  <xdr:twoCellAnchor>
    <xdr:from>
      <xdr:col>26</xdr:col>
      <xdr:colOff>134471</xdr:colOff>
      <xdr:row>141</xdr:row>
      <xdr:rowOff>170330</xdr:rowOff>
    </xdr:from>
    <xdr:to>
      <xdr:col>26</xdr:col>
      <xdr:colOff>582707</xdr:colOff>
      <xdr:row>143</xdr:row>
      <xdr:rowOff>89648</xdr:rowOff>
    </xdr:to>
    <xdr:sp textlink="">
      <xdr:nvSpPr>
        <xdr:cNvPr id="318" name="楕円 317"/>
        <xdr:cNvSpPr/>
      </xdr:nvSpPr>
      <xdr:spPr>
        <a:xfrm>
          <a:off x="18530047" y="36925624"/>
          <a:ext cx="448236" cy="38548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116541</xdr:colOff>
      <xdr:row>141</xdr:row>
      <xdr:rowOff>170330</xdr:rowOff>
    </xdr:from>
    <xdr:to>
      <xdr:col>12</xdr:col>
      <xdr:colOff>564777</xdr:colOff>
      <xdr:row>143</xdr:row>
      <xdr:rowOff>89648</xdr:rowOff>
    </xdr:to>
    <xdr:sp textlink="">
      <xdr:nvSpPr>
        <xdr:cNvPr id="319" name="楕円 318"/>
        <xdr:cNvSpPr/>
      </xdr:nvSpPr>
      <xdr:spPr>
        <a:xfrm>
          <a:off x="8650941" y="36925624"/>
          <a:ext cx="448236" cy="38548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499134</xdr:colOff>
      <xdr:row>131</xdr:row>
      <xdr:rowOff>107576</xdr:rowOff>
    </xdr:from>
    <xdr:to>
      <xdr:col>16</xdr:col>
      <xdr:colOff>331693</xdr:colOff>
      <xdr:row>141</xdr:row>
      <xdr:rowOff>226783</xdr:rowOff>
    </xdr:to>
    <xdr:cxnSp macro="">
      <xdr:nvCxnSpPr>
        <xdr:cNvPr id="320" name="直線矢印コネクタ 319"/>
        <xdr:cNvCxnSpPr>
          <a:stCxn id="317" idx="1"/>
          <a:endCxn id="319" idx="7"/>
        </xdr:cNvCxnSpPr>
      </xdr:nvCxnSpPr>
      <xdr:spPr>
        <a:xfrm flipH="1">
          <a:off x="9033534" y="32909435"/>
          <a:ext cx="2701265" cy="290723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8963</xdr:colOff>
      <xdr:row>131</xdr:row>
      <xdr:rowOff>107576</xdr:rowOff>
    </xdr:from>
    <xdr:to>
      <xdr:col>26</xdr:col>
      <xdr:colOff>134471</xdr:colOff>
      <xdr:row>142</xdr:row>
      <xdr:rowOff>129989</xdr:rowOff>
    </xdr:to>
    <xdr:cxnSp macro="">
      <xdr:nvCxnSpPr>
        <xdr:cNvPr id="323" name="直線矢印コネクタ 322"/>
        <xdr:cNvCxnSpPr>
          <a:stCxn id="317" idx="3"/>
          <a:endCxn id="318" idx="2"/>
        </xdr:cNvCxnSpPr>
      </xdr:nvCxnSpPr>
      <xdr:spPr>
        <a:xfrm>
          <a:off x="16387481" y="32909435"/>
          <a:ext cx="2142566" cy="304351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574191</xdr:colOff>
      <xdr:row>98</xdr:row>
      <xdr:rowOff>143434</xdr:rowOff>
    </xdr:from>
    <xdr:to>
      <xdr:col>29</xdr:col>
      <xdr:colOff>578226</xdr:colOff>
      <xdr:row>100</xdr:row>
      <xdr:rowOff>216048</xdr:rowOff>
    </xdr:to>
    <xdr:cxnSp macro="">
      <xdr:nvCxnSpPr>
        <xdr:cNvPr id="346" name="直線矢印コネクタ 345"/>
        <xdr:cNvCxnSpPr>
          <a:stCxn id="344" idx="2"/>
          <a:endCxn id="260" idx="0"/>
        </xdr:cNvCxnSpPr>
      </xdr:nvCxnSpPr>
      <xdr:spPr>
        <a:xfrm flipH="1">
          <a:off x="19642120" y="24894987"/>
          <a:ext cx="1348741" cy="53877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403413</xdr:colOff>
      <xdr:row>144</xdr:row>
      <xdr:rowOff>89646</xdr:rowOff>
    </xdr:from>
    <xdr:to>
      <xdr:col>23</xdr:col>
      <xdr:colOff>457199</xdr:colOff>
      <xdr:row>148</xdr:row>
      <xdr:rowOff>197223</xdr:rowOff>
    </xdr:to>
    <xdr:sp textlink="">
      <xdr:nvSpPr>
        <xdr:cNvPr id="349" name="テキスト ボックス 348"/>
        <xdr:cNvSpPr txBox="1"/>
      </xdr:nvSpPr>
      <xdr:spPr>
        <a:xfrm>
          <a:off x="12523695" y="36378775"/>
          <a:ext cx="4312022" cy="10399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●更新後の規格・出力等を記入して、算定してください。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21</xdr:col>
      <xdr:colOff>349624</xdr:colOff>
      <xdr:row>141</xdr:row>
      <xdr:rowOff>125506</xdr:rowOff>
    </xdr:from>
    <xdr:to>
      <xdr:col>22</xdr:col>
      <xdr:colOff>627529</xdr:colOff>
      <xdr:row>143</xdr:row>
      <xdr:rowOff>44824</xdr:rowOff>
    </xdr:to>
    <xdr:sp textlink="">
      <xdr:nvSpPr>
        <xdr:cNvPr id="350" name="楕円 349"/>
        <xdr:cNvSpPr/>
      </xdr:nvSpPr>
      <xdr:spPr>
        <a:xfrm>
          <a:off x="15338612" y="35715388"/>
          <a:ext cx="995082" cy="38548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407894</xdr:colOff>
      <xdr:row>143</xdr:row>
      <xdr:rowOff>44824</xdr:rowOff>
    </xdr:from>
    <xdr:to>
      <xdr:col>22</xdr:col>
      <xdr:colOff>129988</xdr:colOff>
      <xdr:row>144</xdr:row>
      <xdr:rowOff>89646</xdr:rowOff>
    </xdr:to>
    <xdr:cxnSp macro="">
      <xdr:nvCxnSpPr>
        <xdr:cNvPr id="351" name="直線矢印コネクタ 350"/>
        <xdr:cNvCxnSpPr>
          <a:stCxn id="349" idx="0"/>
          <a:endCxn id="350" idx="4"/>
        </xdr:cNvCxnSpPr>
      </xdr:nvCxnSpPr>
      <xdr:spPr>
        <a:xfrm flipV="1">
          <a:off x="14679706" y="36100871"/>
          <a:ext cx="1156447" cy="2779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146</xdr:row>
      <xdr:rowOff>134469</xdr:rowOff>
    </xdr:from>
    <xdr:to>
      <xdr:col>15</xdr:col>
      <xdr:colOff>337463</xdr:colOff>
      <xdr:row>159</xdr:row>
      <xdr:rowOff>179295</xdr:rowOff>
    </xdr:to>
    <xdr:grpSp>
      <xdr:nvGrpSpPr>
        <xdr:cNvPr id="355" name="グループ化 354"/>
        <xdr:cNvGrpSpPr/>
      </xdr:nvGrpSpPr>
      <xdr:grpSpPr>
        <a:xfrm>
          <a:off x="674914" y="37483355"/>
          <a:ext cx="10374092" cy="3016626"/>
          <a:chOff x="14552916" y="4285128"/>
          <a:chExt cx="10351039" cy="2398810"/>
        </a:xfrm>
      </xdr:grpSpPr>
      <xdr:grpSp>
        <xdr:nvGrpSpPr>
          <xdr:cNvPr id="356" name="グループ化 355"/>
          <xdr:cNvGrpSpPr/>
        </xdr:nvGrpSpPr>
        <xdr:grpSpPr>
          <a:xfrm>
            <a:off x="14552916" y="4285128"/>
            <a:ext cx="10351039" cy="2398810"/>
            <a:chOff x="14552916" y="4285128"/>
            <a:chExt cx="10351039" cy="2398810"/>
          </a:xfrm>
        </xdr:grpSpPr>
        <xdr:sp textlink="">
          <xdr:nvSpPr>
            <xdr:cNvPr id="358" name="テキスト ボックス 357"/>
            <xdr:cNvSpPr txBox="1"/>
          </xdr:nvSpPr>
          <xdr:spPr>
            <a:xfrm>
              <a:off x="14552916" y="4285128"/>
              <a:ext cx="3675529" cy="2391814"/>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コンプレッサーで申請する場合の関連提出物（例</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→審査で確認する点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・省エネ診断報告書・測定結果等</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→更新前の</a:t>
              </a:r>
              <a:r>
                <a:rPr kumimoji="1" lang="ja-JP" altLang="en-US" sz="1100">
                  <a:solidFill>
                    <a:schemeClr val="dk1"/>
                  </a:solidFill>
                  <a:effectLst/>
                  <a:latin typeface="+mn-lt"/>
                  <a:ea typeface="+mn-ea"/>
                  <a:cs typeface="+mn-cs"/>
                </a:rPr>
                <a:t>規格・能力</a:t>
              </a:r>
              <a:r>
                <a:rPr kumimoji="1" lang="ja-JP" altLang="ja-JP" sz="1100">
                  <a:solidFill>
                    <a:schemeClr val="dk1"/>
                  </a:solidFill>
                  <a:effectLst/>
                  <a:latin typeface="+mn-lt"/>
                  <a:ea typeface="+mn-ea"/>
                  <a:cs typeface="+mn-cs"/>
                </a:rPr>
                <a:t>・稼働時間等を確認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→台数を確認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・更新前設備の仕様書</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→規格・能力等を確認（設備全種分）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更新前設備の</a:t>
              </a:r>
              <a:r>
                <a:rPr kumimoji="1" lang="ja-JP" altLang="en-US" sz="1100">
                  <a:solidFill>
                    <a:schemeClr val="dk1"/>
                  </a:solidFill>
                  <a:effectLst/>
                  <a:latin typeface="+mn-lt"/>
                  <a:ea typeface="+mn-ea"/>
                  <a:cs typeface="+mn-cs"/>
                </a:rPr>
                <a:t>銘板等が読み取れる写真</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→規格・能力等を確認（設備全種分）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sp textlink="">
          <xdr:nvSpPr>
            <xdr:cNvPr id="359" name="テキスト ボックス 358"/>
            <xdr:cNvSpPr txBox="1"/>
          </xdr:nvSpPr>
          <xdr:spPr>
            <a:xfrm>
              <a:off x="21882849" y="4285130"/>
              <a:ext cx="3021106" cy="2398808"/>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●必要項目の不足例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・省エネ診断等で更新前設備全種が診断されていない。（不足分の仕様書等を追加提出）</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・型番等の記載が見積書・仕様書等と異なる。（記載ミス、収集ミス等の確認と修正対応）</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・負荷率・極数など未記載（メーカー等への確認要請、不足資料の追加提出）</a:t>
              </a:r>
              <a:endParaRPr lang="ja-JP" altLang="ja-JP">
                <a:effectLst/>
              </a:endParaRPr>
            </a:p>
          </xdr:txBody>
        </xdr:sp>
      </xdr:grpSp>
      <xdr:sp textlink="">
        <xdr:nvSpPr>
          <xdr:cNvPr id="357" name="テキスト ボックス 356"/>
          <xdr:cNvSpPr txBox="1"/>
        </xdr:nvSpPr>
        <xdr:spPr>
          <a:xfrm>
            <a:off x="18234205" y="4285128"/>
            <a:ext cx="3642875" cy="2398809"/>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コンプレッサー</a:t>
            </a:r>
            <a:r>
              <a:rPr kumimoji="1" lang="ja-JP" altLang="ja-JP" sz="1100">
                <a:solidFill>
                  <a:schemeClr val="dk1"/>
                </a:solidFill>
                <a:effectLst/>
                <a:latin typeface="+mn-lt"/>
                <a:ea typeface="+mn-ea"/>
                <a:cs typeface="+mn-cs"/>
              </a:rPr>
              <a:t>で申請する場合の関連提出物</a:t>
            </a:r>
            <a:r>
              <a:rPr kumimoji="1" lang="ja-JP" altLang="en-US" sz="1100">
                <a:solidFill>
                  <a:schemeClr val="dk1"/>
                </a:solidFill>
                <a:effectLst/>
                <a:latin typeface="+mn-lt"/>
                <a:ea typeface="+mn-ea"/>
                <a:cs typeface="+mn-cs"/>
              </a:rPr>
              <a:t>（例</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・見積書</a:t>
            </a:r>
            <a:endParaRPr lang="ja-JP" altLang="ja-JP">
              <a:effectLst/>
            </a:endParaRPr>
          </a:p>
          <a:p>
            <a:pPr eaLnBrk="1" fontAlgn="auto" latinLnBrk="0" hangingPunct="1"/>
            <a:r>
              <a:rPr kumimoji="1" lang="ja-JP" altLang="ja-JP" sz="1100">
                <a:solidFill>
                  <a:schemeClr val="dk1"/>
                </a:solidFill>
                <a:effectLst/>
                <a:latin typeface="+mn-lt"/>
                <a:ea typeface="+mn-ea"/>
                <a:cs typeface="+mn-cs"/>
              </a:rPr>
              <a:t>→数量を確認（全設備）</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a:t>
            </a:r>
            <a:r>
              <a:rPr kumimoji="1" lang="ja-JP" altLang="en-US" sz="1100">
                <a:solidFill>
                  <a:schemeClr val="dk1"/>
                </a:solidFill>
                <a:effectLst/>
                <a:latin typeface="+mn-lt"/>
                <a:ea typeface="+mn-ea"/>
                <a:cs typeface="+mn-cs"/>
              </a:rPr>
              <a:t>後</a:t>
            </a:r>
            <a:r>
              <a:rPr kumimoji="1" lang="ja-JP" altLang="ja-JP" sz="1100">
                <a:solidFill>
                  <a:schemeClr val="dk1"/>
                </a:solidFill>
                <a:effectLst/>
                <a:latin typeface="+mn-lt"/>
                <a:ea typeface="+mn-ea"/>
                <a:cs typeface="+mn-cs"/>
              </a:rPr>
              <a:t>設備の仕様書</a:t>
            </a:r>
            <a:endParaRPr lang="ja-JP" altLang="ja-JP">
              <a:effectLst/>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規格・能力等を確認（設備全種分）</a:t>
            </a:r>
            <a:endParaRPr lang="ja-JP" altLang="ja-JP">
              <a:effectLst/>
            </a:endParaRPr>
          </a:p>
        </xdr:txBody>
      </xdr:sp>
    </xdr:grpSp>
    <xdr:clientData/>
  </xdr:twoCellAnchor>
  <xdr:twoCellAnchor>
    <xdr:from>
      <xdr:col>18</xdr:col>
      <xdr:colOff>0</xdr:colOff>
      <xdr:row>142</xdr:row>
      <xdr:rowOff>1</xdr:rowOff>
    </xdr:from>
    <xdr:to>
      <xdr:col>18</xdr:col>
      <xdr:colOff>708212</xdr:colOff>
      <xdr:row>143</xdr:row>
      <xdr:rowOff>53789</xdr:rowOff>
    </xdr:to>
    <xdr:sp textlink="">
      <xdr:nvSpPr>
        <xdr:cNvPr id="364" name="楕円 363"/>
        <xdr:cNvSpPr/>
      </xdr:nvSpPr>
      <xdr:spPr>
        <a:xfrm>
          <a:off x="12837459" y="35822966"/>
          <a:ext cx="708212" cy="2868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708212</xdr:colOff>
      <xdr:row>142</xdr:row>
      <xdr:rowOff>143436</xdr:rowOff>
    </xdr:from>
    <xdr:to>
      <xdr:col>20</xdr:col>
      <xdr:colOff>407894</xdr:colOff>
      <xdr:row>144</xdr:row>
      <xdr:rowOff>89646</xdr:rowOff>
    </xdr:to>
    <xdr:cxnSp macro="">
      <xdr:nvCxnSpPr>
        <xdr:cNvPr id="365" name="直線矢印コネクタ 364"/>
        <xdr:cNvCxnSpPr>
          <a:stCxn id="349" idx="0"/>
          <a:endCxn id="364" idx="6"/>
        </xdr:cNvCxnSpPr>
      </xdr:nvCxnSpPr>
      <xdr:spPr>
        <a:xfrm flipH="1" flipV="1">
          <a:off x="13545671" y="35966401"/>
          <a:ext cx="1134035" cy="4123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80686</xdr:colOff>
      <xdr:row>93</xdr:row>
      <xdr:rowOff>322731</xdr:rowOff>
    </xdr:from>
    <xdr:to>
      <xdr:col>33</xdr:col>
      <xdr:colOff>403412</xdr:colOff>
      <xdr:row>98</xdr:row>
      <xdr:rowOff>143434</xdr:rowOff>
    </xdr:to>
    <xdr:sp textlink="">
      <xdr:nvSpPr>
        <xdr:cNvPr id="344" name="テキスト ボックス 343"/>
        <xdr:cNvSpPr txBox="1"/>
      </xdr:nvSpPr>
      <xdr:spPr>
        <a:xfrm>
          <a:off x="18476262" y="23774402"/>
          <a:ext cx="5029197" cy="112058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●定格（標準）加熱能力・相当蒸発量等を記入して、算定してください。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・能力の合計の増加は原則認められません。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9</xdr:col>
      <xdr:colOff>573737</xdr:colOff>
      <xdr:row>111</xdr:row>
      <xdr:rowOff>215150</xdr:rowOff>
    </xdr:from>
    <xdr:to>
      <xdr:col>16</xdr:col>
      <xdr:colOff>268940</xdr:colOff>
      <xdr:row>117</xdr:row>
      <xdr:rowOff>163285</xdr:rowOff>
    </xdr:to>
    <xdr:sp textlink="">
      <xdr:nvSpPr>
        <xdr:cNvPr id="371" name="テキスト ボックス 370"/>
        <xdr:cNvSpPr txBox="1"/>
      </xdr:nvSpPr>
      <xdr:spPr>
        <a:xfrm>
          <a:off x="6974537" y="28354721"/>
          <a:ext cx="4724403" cy="1319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●ボイラー・給湯器の効率について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・蒸気・温水の発生効率を指し、仕様書等に記載されている能力です。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u="sng"/>
            <a:t>給湯器（</a:t>
          </a:r>
          <a:r>
            <a:rPr kumimoji="1" lang="en-US" altLang="ja-JP" sz="1100" u="sng"/>
            <a:t>HP</a:t>
          </a:r>
          <a:r>
            <a:rPr kumimoji="1" lang="ja-JP" altLang="en-US" sz="1100" u="sng"/>
            <a:t>）</a:t>
          </a:r>
          <a:r>
            <a:rPr kumimoji="1" lang="ja-JP" altLang="en-US" sz="1100"/>
            <a:t>の場合「加熱能力</a:t>
          </a:r>
          <a:r>
            <a:rPr kumimoji="1" lang="en-US" altLang="ja-JP" sz="1100"/>
            <a:t>÷</a:t>
          </a:r>
          <a:r>
            <a:rPr kumimoji="1" lang="ja-JP" altLang="en-US" sz="1100"/>
            <a:t>消費電力」のため、効率が</a:t>
          </a:r>
          <a:r>
            <a:rPr kumimoji="1" lang="en-US" altLang="ja-JP" sz="1100">
              <a:solidFill>
                <a:sysClr val="windowText" lastClr="000000"/>
              </a:solidFill>
            </a:rPr>
            <a:t>100</a:t>
          </a:r>
          <a:r>
            <a:rPr kumimoji="1" lang="ja-JP" altLang="en-US" sz="1100">
              <a:solidFill>
                <a:sysClr val="windowText" lastClr="000000"/>
              </a:solidFill>
            </a:rPr>
            <a:t>％を</a:t>
          </a:r>
          <a:r>
            <a:rPr kumimoji="1" lang="ja-JP" altLang="en-US" sz="1100"/>
            <a:t>超える場合があります。</a:t>
          </a:r>
          <a:endParaRPr kumimoji="1" lang="en-US" altLang="ja-JP" sz="1100"/>
        </a:p>
      </xdr:txBody>
    </xdr:sp>
    <xdr:clientData/>
  </xdr:twoCellAnchor>
  <xdr:twoCellAnchor>
    <xdr:from>
      <xdr:col>0</xdr:col>
      <xdr:colOff>654422</xdr:colOff>
      <xdr:row>161</xdr:row>
      <xdr:rowOff>358589</xdr:rowOff>
    </xdr:from>
    <xdr:to>
      <xdr:col>9</xdr:col>
      <xdr:colOff>71717</xdr:colOff>
      <xdr:row>174</xdr:row>
      <xdr:rowOff>179295</xdr:rowOff>
    </xdr:to>
    <xdr:sp textlink="">
      <xdr:nvSpPr>
        <xdr:cNvPr id="378" name="テキスト ボックス 377"/>
        <xdr:cNvSpPr txBox="1"/>
      </xdr:nvSpPr>
      <xdr:spPr>
        <a:xfrm>
          <a:off x="654422" y="41587271"/>
          <a:ext cx="5800166" cy="298524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●仕様書等にある、能力等で算定してください。</a:t>
          </a:r>
          <a:endParaRPr kumimoji="1" lang="en-US" altLang="ja-JP" sz="1100"/>
        </a:p>
        <a:p>
          <a:endParaRPr kumimoji="1" lang="en-US" altLang="ja-JP" sz="1100"/>
        </a:p>
        <a:p>
          <a:r>
            <a:rPr kumimoji="1" lang="ja-JP" altLang="en-US" sz="1100"/>
            <a:t>・動力・電灯など種別は分けて記載してください。（把握しやすい様に。）</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→本体の銘板や仕様表等から読み取る（能力等が読み取れる写真を撮影し、根拠資料として提出する。）</a:t>
          </a:r>
          <a:endParaRPr kumimoji="1" lang="en-US" altLang="ja-JP" sz="1100"/>
        </a:p>
      </xdr:txBody>
    </xdr:sp>
    <xdr:clientData/>
  </xdr:twoCellAnchor>
  <xdr:twoCellAnchor>
    <xdr:from>
      <xdr:col>16</xdr:col>
      <xdr:colOff>331695</xdr:colOff>
      <xdr:row>135</xdr:row>
      <xdr:rowOff>35859</xdr:rowOff>
    </xdr:from>
    <xdr:to>
      <xdr:col>23</xdr:col>
      <xdr:colOff>26895</xdr:colOff>
      <xdr:row>137</xdr:row>
      <xdr:rowOff>170329</xdr:rowOff>
    </xdr:to>
    <xdr:sp textlink="">
      <xdr:nvSpPr>
        <xdr:cNvPr id="381" name="テキスト ボックス 380"/>
        <xdr:cNvSpPr txBox="1"/>
      </xdr:nvSpPr>
      <xdr:spPr>
        <a:xfrm>
          <a:off x="11734801" y="33770047"/>
          <a:ext cx="4670612" cy="60063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10</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×250</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2500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13</xdr:col>
      <xdr:colOff>206142</xdr:colOff>
      <xdr:row>141</xdr:row>
      <xdr:rowOff>197224</xdr:rowOff>
    </xdr:from>
    <xdr:to>
      <xdr:col>14</xdr:col>
      <xdr:colOff>152400</xdr:colOff>
      <xdr:row>143</xdr:row>
      <xdr:rowOff>53789</xdr:rowOff>
    </xdr:to>
    <xdr:sp textlink="">
      <xdr:nvSpPr>
        <xdr:cNvPr id="382" name="楕円 381"/>
        <xdr:cNvSpPr/>
      </xdr:nvSpPr>
      <xdr:spPr>
        <a:xfrm>
          <a:off x="9457718" y="35787106"/>
          <a:ext cx="663435"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55242</xdr:colOff>
      <xdr:row>137</xdr:row>
      <xdr:rowOff>26894</xdr:rowOff>
    </xdr:from>
    <xdr:to>
      <xdr:col>18</xdr:col>
      <xdr:colOff>555812</xdr:colOff>
      <xdr:row>142</xdr:row>
      <xdr:rowOff>11404</xdr:rowOff>
    </xdr:to>
    <xdr:cxnSp macro="">
      <xdr:nvCxnSpPr>
        <xdr:cNvPr id="383" name="直線矢印コネクタ 382"/>
        <xdr:cNvCxnSpPr>
          <a:endCxn id="382" idx="7"/>
        </xdr:cNvCxnSpPr>
      </xdr:nvCxnSpPr>
      <xdr:spPr>
        <a:xfrm flipH="1">
          <a:off x="10023995" y="34227247"/>
          <a:ext cx="3369276" cy="16071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663388</xdr:colOff>
      <xdr:row>178</xdr:row>
      <xdr:rowOff>179294</xdr:rowOff>
    </xdr:from>
    <xdr:to>
      <xdr:col>7</xdr:col>
      <xdr:colOff>26894</xdr:colOff>
      <xdr:row>180</xdr:row>
      <xdr:rowOff>62753</xdr:rowOff>
    </xdr:to>
    <xdr:sp textlink="">
      <xdr:nvSpPr>
        <xdr:cNvPr id="391" name="楕円 390"/>
        <xdr:cNvSpPr/>
      </xdr:nvSpPr>
      <xdr:spPr>
        <a:xfrm>
          <a:off x="1335741" y="45684141"/>
          <a:ext cx="3639671" cy="8068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358589</xdr:colOff>
      <xdr:row>174</xdr:row>
      <xdr:rowOff>179295</xdr:rowOff>
    </xdr:from>
    <xdr:to>
      <xdr:col>5</xdr:col>
      <xdr:colOff>40340</xdr:colOff>
      <xdr:row>178</xdr:row>
      <xdr:rowOff>179294</xdr:rowOff>
    </xdr:to>
    <xdr:cxnSp macro="">
      <xdr:nvCxnSpPr>
        <xdr:cNvPr id="392" name="直線矢印コネクタ 391"/>
        <xdr:cNvCxnSpPr>
          <a:stCxn id="378" idx="2"/>
          <a:endCxn id="391" idx="0"/>
        </xdr:cNvCxnSpPr>
      </xdr:nvCxnSpPr>
      <xdr:spPr>
        <a:xfrm flipH="1">
          <a:off x="3155577" y="44572519"/>
          <a:ext cx="398928" cy="11116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172</xdr:row>
      <xdr:rowOff>224117</xdr:rowOff>
    </xdr:from>
    <xdr:to>
      <xdr:col>15</xdr:col>
      <xdr:colOff>672354</xdr:colOff>
      <xdr:row>175</xdr:row>
      <xdr:rowOff>143435</xdr:rowOff>
    </xdr:to>
    <xdr:sp textlink="">
      <xdr:nvSpPr>
        <xdr:cNvPr id="396" name="テキスト ボックス 395"/>
        <xdr:cNvSpPr txBox="1"/>
      </xdr:nvSpPr>
      <xdr:spPr>
        <a:xfrm>
          <a:off x="6687671" y="42474776"/>
          <a:ext cx="4670612" cy="61856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24</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×365</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8760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8</xdr:col>
      <xdr:colOff>143435</xdr:colOff>
      <xdr:row>179</xdr:row>
      <xdr:rowOff>188259</xdr:rowOff>
    </xdr:from>
    <xdr:to>
      <xdr:col>9</xdr:col>
      <xdr:colOff>89693</xdr:colOff>
      <xdr:row>179</xdr:row>
      <xdr:rowOff>510989</xdr:rowOff>
    </xdr:to>
    <xdr:sp textlink="">
      <xdr:nvSpPr>
        <xdr:cNvPr id="397" name="楕円 396"/>
        <xdr:cNvSpPr/>
      </xdr:nvSpPr>
      <xdr:spPr>
        <a:xfrm>
          <a:off x="5809129" y="43783624"/>
          <a:ext cx="663435"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709712</xdr:colOff>
      <xdr:row>175</xdr:row>
      <xdr:rowOff>143435</xdr:rowOff>
    </xdr:from>
    <xdr:to>
      <xdr:col>12</xdr:col>
      <xdr:colOff>488577</xdr:colOff>
      <xdr:row>179</xdr:row>
      <xdr:rowOff>235522</xdr:rowOff>
    </xdr:to>
    <xdr:cxnSp macro="">
      <xdr:nvCxnSpPr>
        <xdr:cNvPr id="398" name="直線矢印コネクタ 397"/>
        <xdr:cNvCxnSpPr>
          <a:stCxn id="396" idx="2"/>
          <a:endCxn id="397" idx="7"/>
        </xdr:cNvCxnSpPr>
      </xdr:nvCxnSpPr>
      <xdr:spPr>
        <a:xfrm flipH="1">
          <a:off x="6375406" y="43093341"/>
          <a:ext cx="2647571" cy="12037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708212</xdr:colOff>
      <xdr:row>181</xdr:row>
      <xdr:rowOff>35859</xdr:rowOff>
    </xdr:from>
    <xdr:to>
      <xdr:col>20</xdr:col>
      <xdr:colOff>678116</xdr:colOff>
      <xdr:row>194</xdr:row>
      <xdr:rowOff>80684</xdr:rowOff>
    </xdr:to>
    <xdr:grpSp>
      <xdr:nvGrpSpPr>
        <xdr:cNvPr id="403" name="グループ化 402"/>
        <xdr:cNvGrpSpPr/>
      </xdr:nvGrpSpPr>
      <xdr:grpSpPr>
        <a:xfrm>
          <a:off x="5672098" y="46169516"/>
          <a:ext cx="9309847" cy="3016625"/>
          <a:chOff x="14552917" y="4285128"/>
          <a:chExt cx="9293198" cy="2398810"/>
        </a:xfrm>
      </xdr:grpSpPr>
      <xdr:grpSp>
        <xdr:nvGrpSpPr>
          <xdr:cNvPr id="404" name="グループ化 403"/>
          <xdr:cNvGrpSpPr/>
        </xdr:nvGrpSpPr>
        <xdr:grpSpPr>
          <a:xfrm>
            <a:off x="14552917" y="4285128"/>
            <a:ext cx="9293198" cy="2398810"/>
            <a:chOff x="14552917" y="4285128"/>
            <a:chExt cx="9293198" cy="2398810"/>
          </a:xfrm>
        </xdr:grpSpPr>
        <xdr:sp textlink="">
          <xdr:nvSpPr>
            <xdr:cNvPr id="406" name="テキスト ボックス 405"/>
            <xdr:cNvSpPr txBox="1"/>
          </xdr:nvSpPr>
          <xdr:spPr>
            <a:xfrm>
              <a:off x="14552917" y="4285128"/>
              <a:ext cx="3101788" cy="2391814"/>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変圧器で申請する場合の関連提出物（例</a:t>
              </a:r>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→審査で確認する点</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・省エネ診断報告書・測定結果等</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→更新前の</a:t>
              </a:r>
              <a:r>
                <a:rPr kumimoji="1" lang="ja-JP" altLang="en-US" sz="1100">
                  <a:solidFill>
                    <a:schemeClr val="dk1"/>
                  </a:solidFill>
                  <a:effectLst/>
                  <a:latin typeface="+mn-lt"/>
                  <a:ea typeface="+mn-ea"/>
                  <a:cs typeface="+mn-cs"/>
                </a:rPr>
                <a:t>規格・能力</a:t>
              </a:r>
              <a:r>
                <a:rPr kumimoji="1" lang="ja-JP" altLang="ja-JP" sz="1100">
                  <a:solidFill>
                    <a:schemeClr val="dk1"/>
                  </a:solidFill>
                  <a:effectLst/>
                  <a:latin typeface="+mn-lt"/>
                  <a:ea typeface="+mn-ea"/>
                  <a:cs typeface="+mn-cs"/>
                </a:rPr>
                <a:t>・稼働時間等を確認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（設備全種分）</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→台数を確認</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・更新前設備の仕様書</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→規格・能力等を確認（設備全種分）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更新前設備の</a:t>
              </a:r>
              <a:r>
                <a:rPr kumimoji="1" lang="ja-JP" altLang="en-US" sz="1100">
                  <a:solidFill>
                    <a:schemeClr val="dk1"/>
                  </a:solidFill>
                  <a:effectLst/>
                  <a:latin typeface="+mn-lt"/>
                  <a:ea typeface="+mn-ea"/>
                  <a:cs typeface="+mn-cs"/>
                </a:rPr>
                <a:t>銘板等が読み取れる写真</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→規格・能力等を確認（設備全種分）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sp textlink="">
          <xdr:nvSpPr>
            <xdr:cNvPr id="407" name="テキスト ボックス 406"/>
            <xdr:cNvSpPr txBox="1"/>
          </xdr:nvSpPr>
          <xdr:spPr>
            <a:xfrm>
              <a:off x="20825009" y="4285130"/>
              <a:ext cx="3021106" cy="2398808"/>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●必要項目の不足例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・省エネ診断等で更新前設備全種が診断されていない。（不足分の仕様書等を追加提出）</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・型番等の記載が見積書・仕様書等と異なる。（記載ミス、収集ミス等の確認と修正対応）</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・負荷率・極数など未記載（メーカー等への確認要請、不足資料の追加提出）</a:t>
              </a:r>
              <a:endParaRPr lang="ja-JP" altLang="ja-JP">
                <a:effectLst/>
              </a:endParaRPr>
            </a:p>
          </xdr:txBody>
        </xdr:sp>
      </xdr:grpSp>
      <xdr:sp textlink="">
        <xdr:nvSpPr>
          <xdr:cNvPr id="405" name="テキスト ボックス 404"/>
          <xdr:cNvSpPr txBox="1"/>
        </xdr:nvSpPr>
        <xdr:spPr>
          <a:xfrm>
            <a:off x="17660463" y="4285128"/>
            <a:ext cx="3158783" cy="2398809"/>
          </a:xfrm>
          <a:prstGeom prst="rect">
            <a:avLst/>
          </a:prstGeom>
          <a:solidFill>
            <a:srgbClr val="FBFBFB"/>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変圧器</a:t>
            </a:r>
            <a:r>
              <a:rPr kumimoji="1" lang="ja-JP" altLang="ja-JP" sz="1100">
                <a:solidFill>
                  <a:schemeClr val="dk1"/>
                </a:solidFill>
                <a:effectLst/>
                <a:latin typeface="+mn-lt"/>
                <a:ea typeface="+mn-ea"/>
                <a:cs typeface="+mn-cs"/>
              </a:rPr>
              <a:t>で申請する場合の関連提出物</a:t>
            </a:r>
            <a:r>
              <a:rPr kumimoji="1" lang="ja-JP" altLang="en-US" sz="1100">
                <a:solidFill>
                  <a:schemeClr val="dk1"/>
                </a:solidFill>
                <a:effectLst/>
                <a:latin typeface="+mn-lt"/>
                <a:ea typeface="+mn-ea"/>
                <a:cs typeface="+mn-cs"/>
              </a:rPr>
              <a:t>（例</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・見積書</a:t>
            </a:r>
            <a:endParaRPr lang="ja-JP" altLang="ja-JP">
              <a:effectLst/>
            </a:endParaRPr>
          </a:p>
          <a:p>
            <a:pPr eaLnBrk="1" fontAlgn="auto" latinLnBrk="0" hangingPunct="1"/>
            <a:r>
              <a:rPr kumimoji="1" lang="ja-JP" altLang="ja-JP" sz="1100">
                <a:solidFill>
                  <a:schemeClr val="dk1"/>
                </a:solidFill>
                <a:effectLst/>
                <a:latin typeface="+mn-lt"/>
                <a:ea typeface="+mn-ea"/>
                <a:cs typeface="+mn-cs"/>
              </a:rPr>
              <a:t>→数量を確認（全設備）</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更新</a:t>
            </a:r>
            <a:r>
              <a:rPr kumimoji="1" lang="ja-JP" altLang="en-US" sz="1100">
                <a:solidFill>
                  <a:schemeClr val="dk1"/>
                </a:solidFill>
                <a:effectLst/>
                <a:latin typeface="+mn-lt"/>
                <a:ea typeface="+mn-ea"/>
                <a:cs typeface="+mn-cs"/>
              </a:rPr>
              <a:t>後</a:t>
            </a:r>
            <a:r>
              <a:rPr kumimoji="1" lang="ja-JP" altLang="ja-JP" sz="1100">
                <a:solidFill>
                  <a:schemeClr val="dk1"/>
                </a:solidFill>
                <a:effectLst/>
                <a:latin typeface="+mn-lt"/>
                <a:ea typeface="+mn-ea"/>
                <a:cs typeface="+mn-cs"/>
              </a:rPr>
              <a:t>設備の仕様書</a:t>
            </a:r>
            <a:endParaRPr lang="ja-JP" altLang="ja-JP">
              <a:effectLst/>
            </a:endParaRPr>
          </a:p>
          <a:p>
            <a:pPr eaLnBrk="1" fontAlgn="auto" latinLnBrk="0" hangingPunct="1"/>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規格・能力等を確認（設備全種分）</a:t>
            </a:r>
            <a:endParaRPr lang="ja-JP" altLang="ja-JP">
              <a:effectLst/>
            </a:endParaRPr>
          </a:p>
        </xdr:txBody>
      </xdr:sp>
    </xdr:grpSp>
    <xdr:clientData/>
  </xdr:twoCellAnchor>
  <xdr:twoCellAnchor>
    <xdr:from>
      <xdr:col>16</xdr:col>
      <xdr:colOff>170330</xdr:colOff>
      <xdr:row>171</xdr:row>
      <xdr:rowOff>17929</xdr:rowOff>
    </xdr:from>
    <xdr:to>
      <xdr:col>22</xdr:col>
      <xdr:colOff>179293</xdr:colOff>
      <xdr:row>175</xdr:row>
      <xdr:rowOff>125506</xdr:rowOff>
    </xdr:to>
    <xdr:sp textlink="">
      <xdr:nvSpPr>
        <xdr:cNvPr id="408" name="テキスト ボックス 407"/>
        <xdr:cNvSpPr txBox="1"/>
      </xdr:nvSpPr>
      <xdr:spPr>
        <a:xfrm>
          <a:off x="11573436" y="42035505"/>
          <a:ext cx="4312022" cy="10399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10</xdr:col>
      <xdr:colOff>681317</xdr:colOff>
      <xdr:row>178</xdr:row>
      <xdr:rowOff>179294</xdr:rowOff>
    </xdr:from>
    <xdr:to>
      <xdr:col>16</xdr:col>
      <xdr:colOff>188258</xdr:colOff>
      <xdr:row>180</xdr:row>
      <xdr:rowOff>62753</xdr:rowOff>
    </xdr:to>
    <xdr:sp textlink="">
      <xdr:nvSpPr>
        <xdr:cNvPr id="409" name="楕円 408"/>
        <xdr:cNvSpPr/>
      </xdr:nvSpPr>
      <xdr:spPr>
        <a:xfrm>
          <a:off x="7781364" y="43541576"/>
          <a:ext cx="3810000" cy="8068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188258</xdr:colOff>
      <xdr:row>175</xdr:row>
      <xdr:rowOff>125506</xdr:rowOff>
    </xdr:from>
    <xdr:to>
      <xdr:col>19</xdr:col>
      <xdr:colOff>174812</xdr:colOff>
      <xdr:row>179</xdr:row>
      <xdr:rowOff>349624</xdr:rowOff>
    </xdr:to>
    <xdr:cxnSp macro="">
      <xdr:nvCxnSpPr>
        <xdr:cNvPr id="410" name="直線矢印コネクタ 409"/>
        <xdr:cNvCxnSpPr>
          <a:stCxn id="408" idx="2"/>
          <a:endCxn id="409" idx="6"/>
        </xdr:cNvCxnSpPr>
      </xdr:nvCxnSpPr>
      <xdr:spPr>
        <a:xfrm flipH="1">
          <a:off x="11591364" y="43075412"/>
          <a:ext cx="2138083" cy="13357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340658</xdr:colOff>
      <xdr:row>144</xdr:row>
      <xdr:rowOff>107579</xdr:rowOff>
    </xdr:from>
    <xdr:to>
      <xdr:col>10</xdr:col>
      <xdr:colOff>233083</xdr:colOff>
      <xdr:row>145</xdr:row>
      <xdr:rowOff>206191</xdr:rowOff>
    </xdr:to>
    <xdr:sp textlink="">
      <xdr:nvSpPr>
        <xdr:cNvPr id="437" name="テキスト ボックス 436"/>
        <xdr:cNvSpPr txBox="1"/>
      </xdr:nvSpPr>
      <xdr:spPr>
        <a:xfrm>
          <a:off x="2420470" y="36163626"/>
          <a:ext cx="4912660" cy="331694"/>
        </a:xfrm>
        <a:prstGeom prst="rect">
          <a:avLst/>
        </a:prstGeom>
        <a:solidFill>
          <a:srgbClr val="FBFBFB"/>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先に</a:t>
          </a:r>
          <a:r>
            <a:rPr lang="ja-JP" altLang="ja-JP" sz="1100" b="0" i="0" u="sng">
              <a:solidFill>
                <a:schemeClr val="dk1"/>
              </a:solidFill>
              <a:effectLst/>
              <a:latin typeface="+mn-lt"/>
              <a:ea typeface="+mn-ea"/>
              <a:cs typeface="+mn-cs"/>
            </a:rPr>
            <a:t>規格</a:t>
          </a:r>
          <a:r>
            <a:rPr lang="ja-JP" altLang="ja-JP" sz="1100" b="0" i="0">
              <a:solidFill>
                <a:schemeClr val="dk1"/>
              </a:solidFill>
              <a:effectLst/>
              <a:latin typeface="+mn-lt"/>
              <a:ea typeface="+mn-ea"/>
              <a:cs typeface="+mn-cs"/>
            </a:rPr>
            <a:t>を</a:t>
          </a:r>
          <a:r>
            <a:rPr lang="ja-JP" altLang="en-US" sz="1100" b="0" i="0">
              <a:solidFill>
                <a:schemeClr val="dk1"/>
              </a:solidFill>
              <a:effectLst/>
              <a:latin typeface="+mn-lt"/>
              <a:ea typeface="+mn-ea"/>
              <a:cs typeface="+mn-cs"/>
            </a:rPr>
            <a:t>プルダウンから</a:t>
          </a:r>
          <a:r>
            <a:rPr lang="ja-JP" altLang="ja-JP" sz="1100" b="0" i="0">
              <a:solidFill>
                <a:schemeClr val="dk1"/>
              </a:solidFill>
              <a:effectLst/>
              <a:latin typeface="+mn-lt"/>
              <a:ea typeface="+mn-ea"/>
              <a:cs typeface="+mn-cs"/>
            </a:rPr>
            <a:t>選ぶことで、</a:t>
          </a:r>
          <a:r>
            <a:rPr lang="ja-JP" altLang="ja-JP" sz="1100" b="0" i="0" u="sng">
              <a:solidFill>
                <a:schemeClr val="dk1"/>
              </a:solidFill>
              <a:effectLst/>
              <a:latin typeface="+mn-lt"/>
              <a:ea typeface="+mn-ea"/>
              <a:cs typeface="+mn-cs"/>
            </a:rPr>
            <a:t>定格出力</a:t>
          </a:r>
          <a:r>
            <a:rPr lang="ja-JP" altLang="ja-JP" sz="1100" b="0" i="0">
              <a:solidFill>
                <a:schemeClr val="dk1"/>
              </a:solidFill>
              <a:effectLst/>
              <a:latin typeface="+mn-lt"/>
              <a:ea typeface="+mn-ea"/>
              <a:cs typeface="+mn-cs"/>
            </a:rPr>
            <a:t>が</a:t>
          </a:r>
          <a:r>
            <a:rPr lang="ja-JP" altLang="ja-JP" sz="1100" b="0" i="0">
              <a:solidFill>
                <a:sysClr val="windowText" lastClr="000000"/>
              </a:solidFill>
              <a:effectLst/>
              <a:latin typeface="+mn-lt"/>
              <a:ea typeface="+mn-ea"/>
              <a:cs typeface="+mn-cs"/>
            </a:rPr>
            <a:t>選択可能</a:t>
          </a:r>
          <a:r>
            <a:rPr lang="ja-JP" altLang="ja-JP" sz="1100" b="0" i="0">
              <a:solidFill>
                <a:schemeClr val="dk1"/>
              </a:solidFill>
              <a:effectLst/>
              <a:latin typeface="+mn-lt"/>
              <a:ea typeface="+mn-ea"/>
              <a:cs typeface="+mn-cs"/>
            </a:rPr>
            <a:t>になります。</a:t>
          </a:r>
          <a:endParaRPr lang="ja-JP" altLang="ja-JP">
            <a:effectLst/>
          </a:endParaRPr>
        </a:p>
      </xdr:txBody>
    </xdr:sp>
    <xdr:clientData/>
  </xdr:twoCellAnchor>
  <xdr:twoCellAnchor>
    <xdr:from>
      <xdr:col>4</xdr:col>
      <xdr:colOff>143435</xdr:colOff>
      <xdr:row>141</xdr:row>
      <xdr:rowOff>152400</xdr:rowOff>
    </xdr:from>
    <xdr:to>
      <xdr:col>4</xdr:col>
      <xdr:colOff>591671</xdr:colOff>
      <xdr:row>143</xdr:row>
      <xdr:rowOff>71718</xdr:rowOff>
    </xdr:to>
    <xdr:sp textlink="">
      <xdr:nvSpPr>
        <xdr:cNvPr id="438" name="楕円 437"/>
        <xdr:cNvSpPr/>
      </xdr:nvSpPr>
      <xdr:spPr>
        <a:xfrm>
          <a:off x="2940423" y="35509200"/>
          <a:ext cx="448236" cy="385483"/>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125505</xdr:colOff>
      <xdr:row>141</xdr:row>
      <xdr:rowOff>134471</xdr:rowOff>
    </xdr:from>
    <xdr:to>
      <xdr:col>7</xdr:col>
      <xdr:colOff>573741</xdr:colOff>
      <xdr:row>143</xdr:row>
      <xdr:rowOff>53789</xdr:rowOff>
    </xdr:to>
    <xdr:sp textlink="">
      <xdr:nvSpPr>
        <xdr:cNvPr id="440" name="楕円 439"/>
        <xdr:cNvSpPr/>
      </xdr:nvSpPr>
      <xdr:spPr>
        <a:xfrm>
          <a:off x="5074023" y="35491271"/>
          <a:ext cx="448236" cy="385483"/>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526028</xdr:colOff>
      <xdr:row>143</xdr:row>
      <xdr:rowOff>15265</xdr:rowOff>
    </xdr:from>
    <xdr:to>
      <xdr:col>6</xdr:col>
      <xdr:colOff>645459</xdr:colOff>
      <xdr:row>144</xdr:row>
      <xdr:rowOff>107579</xdr:rowOff>
    </xdr:to>
    <xdr:cxnSp macro="">
      <xdr:nvCxnSpPr>
        <xdr:cNvPr id="441" name="直線矢印コネクタ 440"/>
        <xdr:cNvCxnSpPr>
          <a:stCxn id="437" idx="0"/>
          <a:endCxn id="438" idx="5"/>
        </xdr:cNvCxnSpPr>
      </xdr:nvCxnSpPr>
      <xdr:spPr>
        <a:xfrm flipH="1" flipV="1">
          <a:off x="3323016" y="35838230"/>
          <a:ext cx="1553784" cy="325396"/>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645459</xdr:colOff>
      <xdr:row>143</xdr:row>
      <xdr:rowOff>53789</xdr:rowOff>
    </xdr:from>
    <xdr:to>
      <xdr:col>7</xdr:col>
      <xdr:colOff>349623</xdr:colOff>
      <xdr:row>144</xdr:row>
      <xdr:rowOff>107579</xdr:rowOff>
    </xdr:to>
    <xdr:cxnSp macro="">
      <xdr:nvCxnSpPr>
        <xdr:cNvPr id="444" name="直線矢印コネクタ 443"/>
        <xdr:cNvCxnSpPr>
          <a:stCxn id="437" idx="0"/>
          <a:endCxn id="440" idx="4"/>
        </xdr:cNvCxnSpPr>
      </xdr:nvCxnSpPr>
      <xdr:spPr>
        <a:xfrm flipV="1">
          <a:off x="4876800" y="35876754"/>
          <a:ext cx="421341" cy="286872"/>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242047</xdr:colOff>
      <xdr:row>108</xdr:row>
      <xdr:rowOff>125506</xdr:rowOff>
    </xdr:from>
    <xdr:to>
      <xdr:col>13</xdr:col>
      <xdr:colOff>71719</xdr:colOff>
      <xdr:row>110</xdr:row>
      <xdr:rowOff>107576</xdr:rowOff>
    </xdr:to>
    <xdr:sp textlink="">
      <xdr:nvSpPr>
        <xdr:cNvPr id="159" name="楕円 158"/>
        <xdr:cNvSpPr/>
      </xdr:nvSpPr>
      <xdr:spPr>
        <a:xfrm>
          <a:off x="8776447" y="27333388"/>
          <a:ext cx="546848" cy="4482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516112</xdr:colOff>
      <xdr:row>110</xdr:row>
      <xdr:rowOff>107576</xdr:rowOff>
    </xdr:from>
    <xdr:to>
      <xdr:col>13</xdr:col>
      <xdr:colOff>62110</xdr:colOff>
      <xdr:row>111</xdr:row>
      <xdr:rowOff>215150</xdr:rowOff>
    </xdr:to>
    <xdr:cxnSp macro="">
      <xdr:nvCxnSpPr>
        <xdr:cNvPr id="160" name="直線矢印コネクタ 159"/>
        <xdr:cNvCxnSpPr>
          <a:stCxn id="371" idx="0"/>
          <a:endCxn id="159" idx="4"/>
        </xdr:cNvCxnSpPr>
      </xdr:nvCxnSpPr>
      <xdr:spPr>
        <a:xfrm flipH="1" flipV="1">
          <a:off x="9072283" y="28018547"/>
          <a:ext cx="264456" cy="3361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448238</xdr:colOff>
      <xdr:row>111</xdr:row>
      <xdr:rowOff>224116</xdr:rowOff>
    </xdr:from>
    <xdr:to>
      <xdr:col>6</xdr:col>
      <xdr:colOff>259978</xdr:colOff>
      <xdr:row>124</xdr:row>
      <xdr:rowOff>174172</xdr:rowOff>
    </xdr:to>
    <xdr:sp textlink="">
      <xdr:nvSpPr>
        <xdr:cNvPr id="170" name="テキスト ボックス 169"/>
        <xdr:cNvSpPr txBox="1"/>
      </xdr:nvSpPr>
      <xdr:spPr>
        <a:xfrm>
          <a:off x="1123152" y="28363687"/>
          <a:ext cx="3382255" cy="29218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を導入する場合</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・設備種類にて「給湯器（</a:t>
          </a:r>
          <a:r>
            <a:rPr kumimoji="1" lang="en-US" altLang="ja-JP" sz="1100"/>
            <a:t>HP</a:t>
          </a:r>
          <a:r>
            <a:rPr kumimoji="1" lang="ja-JP" altLang="en-US" sz="1100"/>
            <a:t>）」をプルダウンから選択すると、導入年度の行が入力色になります。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・導入年度を入力すると、</a:t>
          </a:r>
          <a:r>
            <a:rPr kumimoji="1" lang="ja-JP" altLang="en-US" sz="1100" u="sng">
              <a:solidFill>
                <a:sysClr val="windowText" lastClr="000000"/>
              </a:solidFill>
            </a:rPr>
            <a:t>ヒートポンプの劣化率</a:t>
          </a:r>
          <a:r>
            <a:rPr kumimoji="1" lang="ja-JP" altLang="en-US" sz="1100">
              <a:solidFill>
                <a:sysClr val="windowText" lastClr="000000"/>
              </a:solidFill>
            </a:rPr>
            <a:t>が自動計算されます。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省エネ診断や施工事業者の測定等により劣化率等を把握しており、そちらの値を用いたい場合は事務局へご相談ください。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以外の場合は、導入年度は記入不要です。</a:t>
          </a:r>
          <a:endParaRPr kumimoji="1" lang="en-US" altLang="ja-JP" sz="1100">
            <a:solidFill>
              <a:schemeClr val="dk1"/>
            </a:solidFill>
            <a:effectLst/>
            <a:latin typeface="+mn-lt"/>
            <a:ea typeface="+mn-ea"/>
            <a:cs typeface="+mn-cs"/>
          </a:endParaRPr>
        </a:p>
      </xdr:txBody>
    </xdr:sp>
    <xdr:clientData/>
  </xdr:twoCellAnchor>
  <xdr:twoCellAnchor>
    <xdr:from>
      <xdr:col>2</xdr:col>
      <xdr:colOff>708211</xdr:colOff>
      <xdr:row>108</xdr:row>
      <xdr:rowOff>161365</xdr:rowOff>
    </xdr:from>
    <xdr:to>
      <xdr:col>5</xdr:col>
      <xdr:colOff>71716</xdr:colOff>
      <xdr:row>110</xdr:row>
      <xdr:rowOff>26895</xdr:rowOff>
    </xdr:to>
    <xdr:sp textlink="">
      <xdr:nvSpPr>
        <xdr:cNvPr id="177" name="楕円 176"/>
        <xdr:cNvSpPr/>
      </xdr:nvSpPr>
      <xdr:spPr>
        <a:xfrm>
          <a:off x="2070846" y="27369247"/>
          <a:ext cx="1515035" cy="3316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5766</xdr:colOff>
      <xdr:row>110</xdr:row>
      <xdr:rowOff>26895</xdr:rowOff>
    </xdr:from>
    <xdr:to>
      <xdr:col>4</xdr:col>
      <xdr:colOff>30735</xdr:colOff>
      <xdr:row>111</xdr:row>
      <xdr:rowOff>224116</xdr:rowOff>
    </xdr:to>
    <xdr:cxnSp macro="">
      <xdr:nvCxnSpPr>
        <xdr:cNvPr id="178" name="直線矢印コネクタ 177"/>
        <xdr:cNvCxnSpPr>
          <a:stCxn id="170" idx="0"/>
          <a:endCxn id="177" idx="4"/>
        </xdr:cNvCxnSpPr>
      </xdr:nvCxnSpPr>
      <xdr:spPr>
        <a:xfrm flipV="1">
          <a:off x="2814280" y="27937866"/>
          <a:ext cx="24969" cy="42582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89648</xdr:colOff>
      <xdr:row>108</xdr:row>
      <xdr:rowOff>161365</xdr:rowOff>
    </xdr:from>
    <xdr:to>
      <xdr:col>8</xdr:col>
      <xdr:colOff>699248</xdr:colOff>
      <xdr:row>110</xdr:row>
      <xdr:rowOff>26895</xdr:rowOff>
    </xdr:to>
    <xdr:sp textlink="">
      <xdr:nvSpPr>
        <xdr:cNvPr id="179" name="楕円 178"/>
        <xdr:cNvSpPr/>
      </xdr:nvSpPr>
      <xdr:spPr>
        <a:xfrm>
          <a:off x="5755342" y="27369247"/>
          <a:ext cx="609600" cy="3316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89647</xdr:colOff>
      <xdr:row>109</xdr:row>
      <xdr:rowOff>211401</xdr:rowOff>
    </xdr:from>
    <xdr:to>
      <xdr:col>8</xdr:col>
      <xdr:colOff>178922</xdr:colOff>
      <xdr:row>115</xdr:row>
      <xdr:rowOff>224117</xdr:rowOff>
    </xdr:to>
    <xdr:cxnSp macro="">
      <xdr:nvCxnSpPr>
        <xdr:cNvPr id="180" name="直線矢印コネクタ 179"/>
        <xdr:cNvCxnSpPr>
          <a:endCxn id="179" idx="3"/>
        </xdr:cNvCxnSpPr>
      </xdr:nvCxnSpPr>
      <xdr:spPr>
        <a:xfrm flipV="1">
          <a:off x="4320988" y="27652366"/>
          <a:ext cx="1523628" cy="14112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672352</xdr:colOff>
      <xdr:row>98</xdr:row>
      <xdr:rowOff>89647</xdr:rowOff>
    </xdr:from>
    <xdr:to>
      <xdr:col>5</xdr:col>
      <xdr:colOff>627529</xdr:colOff>
      <xdr:row>105</xdr:row>
      <xdr:rowOff>179294</xdr:rowOff>
    </xdr:to>
    <xdr:sp textlink="">
      <xdr:nvSpPr>
        <xdr:cNvPr id="183" name="テキスト ボックス 182"/>
        <xdr:cNvSpPr txBox="1"/>
      </xdr:nvSpPr>
      <xdr:spPr>
        <a:xfrm>
          <a:off x="672352" y="24375035"/>
          <a:ext cx="3469342" cy="172122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a:solidFill>
                <a:sysClr val="windowText" lastClr="000000"/>
              </a:solidFill>
            </a:rPr>
            <a:t>ボイラー及び給湯器（加熱式）を導入する場合、経年劣化率は</a:t>
          </a:r>
          <a:r>
            <a:rPr kumimoji="1" lang="en-US" altLang="ja-JP" sz="1100">
              <a:solidFill>
                <a:sysClr val="windowText" lastClr="000000"/>
              </a:solidFill>
            </a:rPr>
            <a:t>10</a:t>
          </a:r>
          <a:r>
            <a:rPr kumimoji="1" lang="ja-JP" altLang="en-US" sz="1100">
              <a:solidFill>
                <a:sysClr val="windowText" lastClr="000000"/>
              </a:solidFill>
            </a:rPr>
            <a:t>％</a:t>
          </a:r>
          <a:r>
            <a:rPr kumimoji="1" lang="ja-JP" altLang="en-US" sz="1100"/>
            <a:t>を参考値とします。</a:t>
          </a:r>
          <a:r>
            <a:rPr kumimoji="1" lang="ja-JP" altLang="ja-JP" sz="1100">
              <a:solidFill>
                <a:schemeClr val="dk1"/>
              </a:solidFill>
              <a:effectLst/>
              <a:latin typeface="+mn-lt"/>
              <a:ea typeface="+mn-ea"/>
              <a:cs typeface="+mn-cs"/>
            </a:rPr>
            <a:t>経年劣化率を把握していない場合は、そのまま算定してください。</a:t>
          </a:r>
          <a:endParaRPr lang="ja-JP" altLang="ja-JP">
            <a:effectLst/>
          </a:endParaRP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a:t>
          </a:r>
          <a:r>
            <a:rPr kumimoji="1" lang="ja-JP" altLang="ja-JP" sz="1100">
              <a:solidFill>
                <a:schemeClr val="dk1"/>
              </a:solidFill>
              <a:effectLst/>
              <a:latin typeface="+mn-lt"/>
              <a:ea typeface="+mn-ea"/>
              <a:cs typeface="+mn-cs"/>
            </a:rPr>
            <a:t>を把握して</a:t>
          </a:r>
          <a:r>
            <a:rPr kumimoji="1" lang="ja-JP" altLang="en-US" sz="1100">
              <a:solidFill>
                <a:schemeClr val="dk1"/>
              </a:solidFill>
              <a:effectLst/>
              <a:latin typeface="+mn-lt"/>
              <a:ea typeface="+mn-ea"/>
              <a:cs typeface="+mn-cs"/>
            </a:rPr>
            <a:t>おり、</a:t>
          </a:r>
          <a:r>
            <a:rPr kumimoji="1" lang="ja-JP" altLang="ja-JP" sz="1100">
              <a:solidFill>
                <a:schemeClr val="dk1"/>
              </a:solidFill>
              <a:effectLst/>
              <a:latin typeface="+mn-lt"/>
              <a:ea typeface="+mn-ea"/>
              <a:cs typeface="+mn-cs"/>
            </a:rPr>
            <a:t>そちらの値を用いたい場合は事務局へご相談ください。</a:t>
          </a:r>
          <a:endParaRPr lang="ja-JP" altLang="ja-JP">
            <a:effectLst/>
          </a:endParaRPr>
        </a:p>
      </xdr:txBody>
    </xdr:sp>
    <xdr:clientData/>
  </xdr:twoCellAnchor>
  <xdr:twoCellAnchor>
    <xdr:from>
      <xdr:col>9</xdr:col>
      <xdr:colOff>152402</xdr:colOff>
      <xdr:row>108</xdr:row>
      <xdr:rowOff>170331</xdr:rowOff>
    </xdr:from>
    <xdr:to>
      <xdr:col>9</xdr:col>
      <xdr:colOff>582706</xdr:colOff>
      <xdr:row>110</xdr:row>
      <xdr:rowOff>35861</xdr:rowOff>
    </xdr:to>
    <xdr:sp textlink="">
      <xdr:nvSpPr>
        <xdr:cNvPr id="207" name="楕円 206"/>
        <xdr:cNvSpPr/>
      </xdr:nvSpPr>
      <xdr:spPr>
        <a:xfrm>
          <a:off x="6535273" y="27378213"/>
          <a:ext cx="430304" cy="33169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627529</xdr:colOff>
      <xdr:row>102</xdr:row>
      <xdr:rowOff>17929</xdr:rowOff>
    </xdr:from>
    <xdr:to>
      <xdr:col>9</xdr:col>
      <xdr:colOff>215419</xdr:colOff>
      <xdr:row>108</xdr:row>
      <xdr:rowOff>218907</xdr:rowOff>
    </xdr:to>
    <xdr:cxnSp macro="">
      <xdr:nvCxnSpPr>
        <xdr:cNvPr id="208" name="直線矢印コネクタ 207"/>
        <xdr:cNvCxnSpPr>
          <a:stCxn id="183" idx="3"/>
          <a:endCxn id="207" idx="1"/>
        </xdr:cNvCxnSpPr>
      </xdr:nvCxnSpPr>
      <xdr:spPr>
        <a:xfrm>
          <a:off x="4141694" y="25235647"/>
          <a:ext cx="2456596" cy="21911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35861</xdr:rowOff>
    </xdr:from>
    <xdr:to>
      <xdr:col>5</xdr:col>
      <xdr:colOff>161364</xdr:colOff>
      <xdr:row>81</xdr:row>
      <xdr:rowOff>170331</xdr:rowOff>
    </xdr:to>
    <xdr:sp textlink="">
      <xdr:nvSpPr>
        <xdr:cNvPr id="214" name="テキスト ボックス 213"/>
        <xdr:cNvSpPr txBox="1"/>
      </xdr:nvSpPr>
      <xdr:spPr>
        <a:xfrm>
          <a:off x="672353" y="19292049"/>
          <a:ext cx="3003176" cy="153296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94129</xdr:colOff>
      <xdr:row>73</xdr:row>
      <xdr:rowOff>43482</xdr:rowOff>
    </xdr:from>
    <xdr:to>
      <xdr:col>3</xdr:col>
      <xdr:colOff>529275</xdr:colOff>
      <xdr:row>75</xdr:row>
      <xdr:rowOff>35861</xdr:rowOff>
    </xdr:to>
    <xdr:cxnSp macro="">
      <xdr:nvCxnSpPr>
        <xdr:cNvPr id="215" name="直線矢印コネクタ 214"/>
        <xdr:cNvCxnSpPr>
          <a:stCxn id="214" idx="0"/>
          <a:endCxn id="216" idx="4"/>
        </xdr:cNvCxnSpPr>
      </xdr:nvCxnSpPr>
      <xdr:spPr>
        <a:xfrm flipV="1">
          <a:off x="2173941" y="18833506"/>
          <a:ext cx="435146" cy="45854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305515</xdr:colOff>
      <xdr:row>71</xdr:row>
      <xdr:rowOff>34516</xdr:rowOff>
    </xdr:from>
    <xdr:to>
      <xdr:col>4</xdr:col>
      <xdr:colOff>35859</xdr:colOff>
      <xdr:row>73</xdr:row>
      <xdr:rowOff>43482</xdr:rowOff>
    </xdr:to>
    <xdr:sp textlink="">
      <xdr:nvSpPr>
        <xdr:cNvPr id="216" name="楕円 215"/>
        <xdr:cNvSpPr/>
      </xdr:nvSpPr>
      <xdr:spPr>
        <a:xfrm>
          <a:off x="2385327" y="18358375"/>
          <a:ext cx="447520" cy="47513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71</xdr:row>
      <xdr:rowOff>116541</xdr:rowOff>
    </xdr:from>
    <xdr:to>
      <xdr:col>6</xdr:col>
      <xdr:colOff>35861</xdr:colOff>
      <xdr:row>73</xdr:row>
      <xdr:rowOff>125507</xdr:rowOff>
    </xdr:to>
    <xdr:sp textlink="">
      <xdr:nvSpPr>
        <xdr:cNvPr id="217" name="楕円 216"/>
        <xdr:cNvSpPr/>
      </xdr:nvSpPr>
      <xdr:spPr>
        <a:xfrm>
          <a:off x="3783106" y="18440400"/>
          <a:ext cx="484096" cy="47513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94129</xdr:colOff>
      <xdr:row>73</xdr:row>
      <xdr:rowOff>55926</xdr:rowOff>
    </xdr:from>
    <xdr:to>
      <xdr:col>5</xdr:col>
      <xdr:colOff>339835</xdr:colOff>
      <xdr:row>75</xdr:row>
      <xdr:rowOff>35861</xdr:rowOff>
    </xdr:to>
    <xdr:cxnSp macro="">
      <xdr:nvCxnSpPr>
        <xdr:cNvPr id="218" name="直線矢印コネクタ 217"/>
        <xdr:cNvCxnSpPr>
          <a:stCxn id="214" idx="0"/>
          <a:endCxn id="217" idx="3"/>
        </xdr:cNvCxnSpPr>
      </xdr:nvCxnSpPr>
      <xdr:spPr>
        <a:xfrm flipV="1">
          <a:off x="2173941" y="18845950"/>
          <a:ext cx="1680059" cy="4460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637393</xdr:colOff>
      <xdr:row>100</xdr:row>
      <xdr:rowOff>216048</xdr:rowOff>
    </xdr:from>
    <xdr:to>
      <xdr:col>28</xdr:col>
      <xdr:colOff>510989</xdr:colOff>
      <xdr:row>102</xdr:row>
      <xdr:rowOff>44824</xdr:rowOff>
    </xdr:to>
    <xdr:sp textlink="">
      <xdr:nvSpPr>
        <xdr:cNvPr id="260" name="正方形/長方形 259"/>
        <xdr:cNvSpPr/>
      </xdr:nvSpPr>
      <xdr:spPr>
        <a:xfrm>
          <a:off x="19032969" y="25433766"/>
          <a:ext cx="1218302" cy="2949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564776</xdr:colOff>
      <xdr:row>102</xdr:row>
      <xdr:rowOff>224118</xdr:rowOff>
    </xdr:from>
    <xdr:to>
      <xdr:col>25</xdr:col>
      <xdr:colOff>571499</xdr:colOff>
      <xdr:row>105</xdr:row>
      <xdr:rowOff>35412</xdr:rowOff>
    </xdr:to>
    <xdr:sp textlink="">
      <xdr:nvSpPr>
        <xdr:cNvPr id="270" name="楕円 269"/>
        <xdr:cNvSpPr/>
      </xdr:nvSpPr>
      <xdr:spPr>
        <a:xfrm>
          <a:off x="17615647" y="25908000"/>
          <a:ext cx="679076" cy="51054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672352</xdr:colOff>
      <xdr:row>94</xdr:row>
      <xdr:rowOff>170329</xdr:rowOff>
    </xdr:from>
    <xdr:to>
      <xdr:col>25</xdr:col>
      <xdr:colOff>618564</xdr:colOff>
      <xdr:row>98</xdr:row>
      <xdr:rowOff>125506</xdr:rowOff>
    </xdr:to>
    <xdr:sp textlink="">
      <xdr:nvSpPr>
        <xdr:cNvPr id="271" name="テキスト ボックス 270"/>
        <xdr:cNvSpPr txBox="1"/>
      </xdr:nvSpPr>
      <xdr:spPr>
        <a:xfrm>
          <a:off x="16378517" y="23989553"/>
          <a:ext cx="1963271" cy="887506"/>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●最大・冬季能力など、定格（標準）以外の能力では算定しないでください。</a:t>
          </a:r>
          <a:endParaRPr kumimoji="1" lang="en-US" altLang="ja-JP" sz="1100"/>
        </a:p>
      </xdr:txBody>
    </xdr:sp>
    <xdr:clientData/>
  </xdr:twoCellAnchor>
  <xdr:twoCellAnchor>
    <xdr:from>
      <xdr:col>27</xdr:col>
      <xdr:colOff>233082</xdr:colOff>
      <xdr:row>108</xdr:row>
      <xdr:rowOff>215153</xdr:rowOff>
    </xdr:from>
    <xdr:to>
      <xdr:col>30</xdr:col>
      <xdr:colOff>35858</xdr:colOff>
      <xdr:row>110</xdr:row>
      <xdr:rowOff>44823</xdr:rowOff>
    </xdr:to>
    <xdr:sp textlink="">
      <xdr:nvSpPr>
        <xdr:cNvPr id="272" name="正方形/長方形 271"/>
        <xdr:cNvSpPr/>
      </xdr:nvSpPr>
      <xdr:spPr>
        <a:xfrm>
          <a:off x="18628658" y="27889200"/>
          <a:ext cx="1819835" cy="2958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470647</xdr:colOff>
      <xdr:row>102</xdr:row>
      <xdr:rowOff>44824</xdr:rowOff>
    </xdr:from>
    <xdr:to>
      <xdr:col>27</xdr:col>
      <xdr:colOff>574191</xdr:colOff>
      <xdr:row>108</xdr:row>
      <xdr:rowOff>215153</xdr:rowOff>
    </xdr:to>
    <xdr:cxnSp macro="">
      <xdr:nvCxnSpPr>
        <xdr:cNvPr id="280" name="直線矢印コネクタ 279"/>
        <xdr:cNvCxnSpPr>
          <a:stCxn id="260" idx="2"/>
          <a:endCxn id="272" idx="0"/>
        </xdr:cNvCxnSpPr>
      </xdr:nvCxnSpPr>
      <xdr:spPr>
        <a:xfrm flipH="1">
          <a:off x="19538576" y="25728706"/>
          <a:ext cx="103544" cy="216049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309282</xdr:colOff>
      <xdr:row>98</xdr:row>
      <xdr:rowOff>125506</xdr:rowOff>
    </xdr:from>
    <xdr:to>
      <xdr:col>25</xdr:col>
      <xdr:colOff>107576</xdr:colOff>
      <xdr:row>103</xdr:row>
      <xdr:rowOff>44823</xdr:rowOff>
    </xdr:to>
    <xdr:cxnSp macro="">
      <xdr:nvCxnSpPr>
        <xdr:cNvPr id="284" name="直線矢印コネクタ 283"/>
        <xdr:cNvCxnSpPr>
          <a:stCxn id="271" idx="2"/>
        </xdr:cNvCxnSpPr>
      </xdr:nvCxnSpPr>
      <xdr:spPr>
        <a:xfrm>
          <a:off x="17360153" y="24877059"/>
          <a:ext cx="470647" cy="10847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98612</xdr:colOff>
      <xdr:row>100</xdr:row>
      <xdr:rowOff>134470</xdr:rowOff>
    </xdr:from>
    <xdr:to>
      <xdr:col>29</xdr:col>
      <xdr:colOff>394447</xdr:colOff>
      <xdr:row>102</xdr:row>
      <xdr:rowOff>161365</xdr:rowOff>
    </xdr:to>
    <xdr:sp textlink="">
      <xdr:nvSpPr>
        <xdr:cNvPr id="296" name="下矢印 295"/>
        <xdr:cNvSpPr/>
      </xdr:nvSpPr>
      <xdr:spPr>
        <a:xfrm rot="16200000">
          <a:off x="20412635" y="25450800"/>
          <a:ext cx="493059" cy="295835"/>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582706</xdr:colOff>
      <xdr:row>59</xdr:row>
      <xdr:rowOff>358588</xdr:rowOff>
    </xdr:from>
    <xdr:to>
      <xdr:col>5</xdr:col>
      <xdr:colOff>125506</xdr:colOff>
      <xdr:row>62</xdr:row>
      <xdr:rowOff>16587</xdr:rowOff>
    </xdr:to>
    <xdr:sp textlink="">
      <xdr:nvSpPr>
        <xdr:cNvPr id="181" name="楕円 180"/>
        <xdr:cNvSpPr/>
      </xdr:nvSpPr>
      <xdr:spPr>
        <a:xfrm>
          <a:off x="1945341" y="16235082"/>
          <a:ext cx="1694330" cy="6261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528917</xdr:colOff>
      <xdr:row>58</xdr:row>
      <xdr:rowOff>322730</xdr:rowOff>
    </xdr:from>
    <xdr:to>
      <xdr:col>16</xdr:col>
      <xdr:colOff>528918</xdr:colOff>
      <xdr:row>59</xdr:row>
      <xdr:rowOff>349625</xdr:rowOff>
    </xdr:to>
    <xdr:sp textlink="">
      <xdr:nvSpPr>
        <xdr:cNvPr id="182" name="テキスト ボックス 181"/>
        <xdr:cNvSpPr txBox="1"/>
      </xdr:nvSpPr>
      <xdr:spPr>
        <a:xfrm>
          <a:off x="4043082" y="15464118"/>
          <a:ext cx="7888942" cy="39444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●燃料の種類（都市ガス </a:t>
          </a:r>
          <a:r>
            <a:rPr kumimoji="1" lang="en-US" altLang="ja-JP" sz="1100"/>
            <a:t>or </a:t>
          </a:r>
          <a:r>
            <a:rPr kumimoji="1" lang="ja-JP" altLang="en-US" sz="1100"/>
            <a:t>液化石油ガス（</a:t>
          </a:r>
          <a:r>
            <a:rPr kumimoji="1" lang="en-US" altLang="ja-JP" sz="1100"/>
            <a:t>LPG</a:t>
          </a:r>
          <a:r>
            <a:rPr kumimoji="1" lang="ja-JP" altLang="en-US" sz="1100"/>
            <a:t>））、ガスの詳細な種類（</a:t>
          </a:r>
          <a:r>
            <a:rPr kumimoji="1" lang="en-US" altLang="ja-JP" sz="1100"/>
            <a:t>A13 or A12</a:t>
          </a:r>
          <a:r>
            <a:rPr kumimoji="1" lang="ja-JP" altLang="en-US" sz="1100"/>
            <a:t>、</a:t>
          </a:r>
          <a:r>
            <a:rPr kumimoji="1" lang="en-US" altLang="ja-JP" sz="1100"/>
            <a:t>LP</a:t>
          </a:r>
          <a:r>
            <a:rPr kumimoji="1" lang="ja-JP" altLang="en-US" sz="1100"/>
            <a:t>）を選択してください</a:t>
          </a:r>
          <a:endParaRPr kumimoji="1" lang="en-US" altLang="ja-JP" sz="1100"/>
        </a:p>
      </xdr:txBody>
    </xdr:sp>
    <xdr:clientData/>
  </xdr:twoCellAnchor>
  <xdr:twoCellAnchor>
    <xdr:from>
      <xdr:col>4</xdr:col>
      <xdr:colOff>594554</xdr:colOff>
      <xdr:row>59</xdr:row>
      <xdr:rowOff>152401</xdr:rowOff>
    </xdr:from>
    <xdr:to>
      <xdr:col>5</xdr:col>
      <xdr:colOff>528917</xdr:colOff>
      <xdr:row>60</xdr:row>
      <xdr:rowOff>64358</xdr:rowOff>
    </xdr:to>
    <xdr:cxnSp macro="">
      <xdr:nvCxnSpPr>
        <xdr:cNvPr id="184" name="直線矢印コネクタ 183"/>
        <xdr:cNvCxnSpPr>
          <a:stCxn id="182" idx="1"/>
          <a:endCxn id="181" idx="7"/>
        </xdr:cNvCxnSpPr>
      </xdr:nvCxnSpPr>
      <xdr:spPr>
        <a:xfrm flipH="1">
          <a:off x="3391542" y="15661342"/>
          <a:ext cx="651540" cy="2795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179</xdr:row>
      <xdr:rowOff>188259</xdr:rowOff>
    </xdr:from>
    <xdr:to>
      <xdr:col>8</xdr:col>
      <xdr:colOff>80729</xdr:colOff>
      <xdr:row>179</xdr:row>
      <xdr:rowOff>510989</xdr:rowOff>
    </xdr:to>
    <xdr:sp textlink="">
      <xdr:nvSpPr>
        <xdr:cNvPr id="196" name="楕円 195"/>
        <xdr:cNvSpPr/>
      </xdr:nvSpPr>
      <xdr:spPr>
        <a:xfrm>
          <a:off x="5082988" y="45926188"/>
          <a:ext cx="663435"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354106</xdr:colOff>
      <xdr:row>179</xdr:row>
      <xdr:rowOff>463726</xdr:rowOff>
    </xdr:from>
    <xdr:to>
      <xdr:col>7</xdr:col>
      <xdr:colOff>231628</xdr:colOff>
      <xdr:row>182</xdr:row>
      <xdr:rowOff>143436</xdr:rowOff>
    </xdr:to>
    <xdr:cxnSp macro="">
      <xdr:nvCxnSpPr>
        <xdr:cNvPr id="197" name="直線矢印コネクタ 196"/>
        <xdr:cNvCxnSpPr>
          <a:stCxn id="198" idx="0"/>
          <a:endCxn id="196" idx="3"/>
        </xdr:cNvCxnSpPr>
      </xdr:nvCxnSpPr>
      <xdr:spPr>
        <a:xfrm flipV="1">
          <a:off x="3151094" y="46201655"/>
          <a:ext cx="2029052" cy="8361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53788</xdr:colOff>
      <xdr:row>182</xdr:row>
      <xdr:rowOff>143436</xdr:rowOff>
    </xdr:from>
    <xdr:to>
      <xdr:col>7</xdr:col>
      <xdr:colOff>627529</xdr:colOff>
      <xdr:row>186</xdr:row>
      <xdr:rowOff>197224</xdr:rowOff>
    </xdr:to>
    <xdr:sp textlink="">
      <xdr:nvSpPr>
        <xdr:cNvPr id="198" name="テキスト ボックス 197"/>
        <xdr:cNvSpPr txBox="1"/>
      </xdr:nvSpPr>
      <xdr:spPr>
        <a:xfrm>
          <a:off x="726141" y="47037812"/>
          <a:ext cx="4849906" cy="98611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●負荷率は、容量</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以下は</a:t>
          </a:r>
          <a:r>
            <a:rPr lang="en-US" altLang="ja-JP" sz="1100" b="0" i="0">
              <a:solidFill>
                <a:schemeClr val="dk1"/>
              </a:solidFill>
              <a:effectLst/>
              <a:latin typeface="+mn-lt"/>
              <a:ea typeface="+mn-ea"/>
              <a:cs typeface="+mn-cs"/>
            </a:rPr>
            <a:t>40%</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超は</a:t>
          </a:r>
          <a:r>
            <a:rPr lang="en-US" altLang="ja-JP" sz="1100" b="0" i="0">
              <a:solidFill>
                <a:schemeClr val="dk1"/>
              </a:solidFill>
              <a:effectLst/>
              <a:latin typeface="+mn-lt"/>
              <a:ea typeface="+mn-ea"/>
              <a:cs typeface="+mn-cs"/>
            </a:rPr>
            <a:t>50%</a:t>
          </a:r>
          <a:r>
            <a:rPr lang="ja-JP" altLang="en-US" sz="1100" b="0" i="0">
              <a:solidFill>
                <a:schemeClr val="dk1"/>
              </a:solidFill>
              <a:effectLst/>
              <a:latin typeface="+mn-lt"/>
              <a:ea typeface="+mn-ea"/>
              <a:cs typeface="+mn-cs"/>
            </a:rPr>
            <a:t>を基準値とします。</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負荷率</a:t>
          </a:r>
          <a:r>
            <a:rPr kumimoji="1" lang="ja-JP" altLang="ja-JP" sz="1100">
              <a:solidFill>
                <a:schemeClr val="dk1"/>
              </a:solidFill>
              <a:effectLst/>
              <a:latin typeface="+mn-lt"/>
              <a:ea typeface="+mn-ea"/>
              <a:cs typeface="+mn-cs"/>
            </a:rPr>
            <a:t>を把握しており、そちらの値を用いたい場合は事務局へご相談ください。</a:t>
          </a:r>
          <a:endParaRPr lang="ja-JP" altLang="ja-JP">
            <a:effectLst/>
          </a:endParaRPr>
        </a:p>
        <a:p>
          <a:endParaRPr kumimoji="1" lang="ja-JP" altLang="en-US"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152400</xdr:colOff>
      <xdr:row>32</xdr:row>
      <xdr:rowOff>22324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228600"/>
          <a:ext cx="10058400" cy="7108924"/>
        </a:xfrm>
        <a:prstGeom prst="rect">
          <a:avLst/>
        </a:prstGeom>
      </xdr:spPr>
    </xdr:pic>
    <xdr:clientData/>
  </xdr:twoCellAnchor>
  <xdr:twoCellAnchor>
    <xdr:from>
      <xdr:col>10</xdr:col>
      <xdr:colOff>165100</xdr:colOff>
      <xdr:row>10</xdr:row>
      <xdr:rowOff>57150</xdr:rowOff>
    </xdr:from>
    <xdr:to>
      <xdr:col>14</xdr:col>
      <xdr:colOff>247650</xdr:colOff>
      <xdr:row>11</xdr:row>
      <xdr:rowOff>171450</xdr:rowOff>
    </xdr:to>
    <xdr:sp textlink="">
      <xdr:nvSpPr>
        <xdr:cNvPr id="3" name="テキスト ボックス 2"/>
        <xdr:cNvSpPr txBox="1"/>
      </xdr:nvSpPr>
      <xdr:spPr>
        <a:xfrm>
          <a:off x="6769100" y="2343150"/>
          <a:ext cx="27241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●空調（</a:t>
          </a:r>
          <a:r>
            <a:rPr kumimoji="1" lang="en-US" altLang="ja-JP" sz="1100">
              <a:solidFill>
                <a:srgbClr val="FF0000"/>
              </a:solidFill>
            </a:rPr>
            <a:t>EHP</a:t>
          </a:r>
          <a:r>
            <a:rPr kumimoji="1" lang="ja-JP" altLang="en-US" sz="1100">
              <a:solidFill>
                <a:srgbClr val="FF0000"/>
              </a:solidFill>
            </a:rPr>
            <a:t>）関連の劣化率の参考元</a:t>
          </a:r>
          <a:endParaRPr kumimoji="1" lang="en-US" altLang="ja-JP" sz="1100">
            <a:solidFill>
              <a:srgbClr val="FF0000"/>
            </a:solidFill>
          </a:endParaRPr>
        </a:p>
      </xdr:txBody>
    </xdr:sp>
    <xdr:clientData/>
  </xdr:twoCellAnchor>
  <xdr:twoCellAnchor editAs="oneCell">
    <xdr:from>
      <xdr:col>1</xdr:col>
      <xdr:colOff>0</xdr:colOff>
      <xdr:row>33</xdr:row>
      <xdr:rowOff>0</xdr:rowOff>
    </xdr:from>
    <xdr:to>
      <xdr:col>11</xdr:col>
      <xdr:colOff>235857</xdr:colOff>
      <xdr:row>76</xdr:row>
      <xdr:rowOff>155739</xdr:rowOff>
    </xdr:to>
    <xdr:pic>
      <xdr:nvPicPr>
        <xdr:cNvPr id="4"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2214" y="7483929"/>
          <a:ext cx="6858000" cy="9907524"/>
        </a:xfrm>
        <a:prstGeom prst="rect">
          <a:avLst/>
        </a:prstGeom>
      </xdr:spPr>
    </xdr:pic>
    <xdr:clientData/>
  </xdr:twoCellAnchor>
  <xdr:twoCellAnchor>
    <xdr:from>
      <xdr:col>6</xdr:col>
      <xdr:colOff>209176</xdr:colOff>
      <xdr:row>50</xdr:row>
      <xdr:rowOff>14941</xdr:rowOff>
    </xdr:from>
    <xdr:to>
      <xdr:col>10</xdr:col>
      <xdr:colOff>291726</xdr:colOff>
      <xdr:row>51</xdr:row>
      <xdr:rowOff>129242</xdr:rowOff>
    </xdr:to>
    <xdr:sp textlink="">
      <xdr:nvSpPr>
        <xdr:cNvPr id="5" name="テキスト ボックス 4"/>
        <xdr:cNvSpPr txBox="1"/>
      </xdr:nvSpPr>
      <xdr:spPr>
        <a:xfrm>
          <a:off x="4153647" y="11594353"/>
          <a:ext cx="2712197" cy="345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●空調（</a:t>
          </a:r>
          <a:r>
            <a:rPr kumimoji="1" lang="en-US" altLang="ja-JP" sz="1100">
              <a:solidFill>
                <a:srgbClr val="FF0000"/>
              </a:solidFill>
            </a:rPr>
            <a:t>GHP</a:t>
          </a:r>
          <a:r>
            <a:rPr kumimoji="1" lang="ja-JP" altLang="en-US" sz="1100">
              <a:solidFill>
                <a:srgbClr val="FF0000"/>
              </a:solidFill>
            </a:rPr>
            <a:t>）の</a:t>
          </a:r>
          <a:r>
            <a:rPr kumimoji="1" lang="en-US" altLang="ja-JP" sz="1100">
              <a:solidFill>
                <a:srgbClr val="FF0000"/>
              </a:solidFill>
            </a:rPr>
            <a:t>COP</a:t>
          </a:r>
          <a:r>
            <a:rPr kumimoji="1" lang="ja-JP" altLang="en-US" sz="1100">
              <a:solidFill>
                <a:srgbClr val="FF0000"/>
              </a:solidFill>
            </a:rPr>
            <a:t>参考元</a:t>
          </a:r>
          <a:endParaRPr kumimoji="1" lang="en-US" altLang="ja-JP" sz="1100">
            <a:solidFill>
              <a:srgbClr val="FF0000"/>
            </a:solidFill>
          </a:endParaRPr>
        </a:p>
      </xdr:txBody>
    </xdr:sp>
    <xdr:clientData/>
  </xdr:twoCellAnchor>
  <xdr:twoCellAnchor editAs="oneCell">
    <xdr:from>
      <xdr:col>1</xdr:col>
      <xdr:colOff>0</xdr:colOff>
      <xdr:row>78</xdr:row>
      <xdr:rowOff>0</xdr:rowOff>
    </xdr:from>
    <xdr:to>
      <xdr:col>16</xdr:col>
      <xdr:colOff>152400</xdr:colOff>
      <xdr:row>109</xdr:row>
      <xdr:rowOff>26094</xdr:rowOff>
    </xdr:to>
    <xdr:pic>
      <xdr:nvPicPr>
        <xdr:cNvPr id="6" name="図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0400" y="17830800"/>
          <a:ext cx="10058400" cy="7112694"/>
        </a:xfrm>
        <a:prstGeom prst="rect">
          <a:avLst/>
        </a:prstGeom>
      </xdr:spPr>
    </xdr:pic>
    <xdr:clientData/>
  </xdr:twoCellAnchor>
  <xdr:twoCellAnchor>
    <xdr:from>
      <xdr:col>8</xdr:col>
      <xdr:colOff>158750</xdr:colOff>
      <xdr:row>83</xdr:row>
      <xdr:rowOff>76200</xdr:rowOff>
    </xdr:from>
    <xdr:to>
      <xdr:col>10</xdr:col>
      <xdr:colOff>368300</xdr:colOff>
      <xdr:row>84</xdr:row>
      <xdr:rowOff>152400</xdr:rowOff>
    </xdr:to>
    <xdr:sp textlink="">
      <xdr:nvSpPr>
        <xdr:cNvPr id="7" name="テキスト ボックス 6"/>
        <xdr:cNvSpPr txBox="1"/>
      </xdr:nvSpPr>
      <xdr:spPr>
        <a:xfrm>
          <a:off x="5441950" y="19050000"/>
          <a:ext cx="15303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●日本</a:t>
          </a:r>
          <a:r>
            <a:rPr kumimoji="1" lang="en-US" altLang="ja-JP" sz="1100">
              <a:solidFill>
                <a:srgbClr val="FF0000"/>
              </a:solidFill>
            </a:rPr>
            <a:t>LP</a:t>
          </a:r>
          <a:r>
            <a:rPr kumimoji="1" lang="ja-JP" altLang="en-US" sz="1100">
              <a:solidFill>
                <a:srgbClr val="FF0000"/>
              </a:solidFill>
            </a:rPr>
            <a:t>ガス協会</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11</xdr:col>
      <xdr:colOff>510988</xdr:colOff>
      <xdr:row>10</xdr:row>
      <xdr:rowOff>0</xdr:rowOff>
    </xdr:to>
    <xdr:sp textlink="">
      <xdr:nvSpPr>
        <xdr:cNvPr id="5" name="テキスト ボックス 4"/>
        <xdr:cNvSpPr txBox="1"/>
      </xdr:nvSpPr>
      <xdr:spPr>
        <a:xfrm>
          <a:off x="281214" y="2213429"/>
          <a:ext cx="7260131" cy="45357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12</xdr:col>
      <xdr:colOff>0</xdr:colOff>
      <xdr:row>7</xdr:row>
      <xdr:rowOff>0</xdr:rowOff>
    </xdr:from>
    <xdr:to>
      <xdr:col>16</xdr:col>
      <xdr:colOff>0</xdr:colOff>
      <xdr:row>8</xdr:row>
      <xdr:rowOff>0</xdr:rowOff>
    </xdr:to>
    <xdr:sp textlink="">
      <xdr:nvSpPr>
        <xdr:cNvPr id="6" name="テキスト ボックス 5"/>
        <xdr:cNvSpPr txBox="1"/>
      </xdr:nvSpPr>
      <xdr:spPr>
        <a:xfrm>
          <a:off x="7784353" y="1964765"/>
          <a:ext cx="3212353" cy="23158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数量（</a:t>
          </a:r>
          <a:r>
            <a:rPr lang="en-US" altLang="ja-JP" sz="1100" b="0" i="0" u="none" strike="noStrike">
              <a:solidFill>
                <a:sysClr val="windowText" lastClr="000000"/>
              </a:solidFill>
              <a:effectLst/>
              <a:latin typeface="+mn-lt"/>
              <a:ea typeface="+mn-ea"/>
              <a:cs typeface="+mn-cs"/>
            </a:rPr>
            <a:t>n</a:t>
          </a:r>
          <a:r>
            <a:rPr lang="ja-JP" altLang="en-US" sz="1100" b="0" i="0" u="none" strike="noStrike">
              <a:solidFill>
                <a:sysClr val="windowText" lastClr="000000"/>
              </a:solidFill>
              <a:effectLst/>
              <a:latin typeface="+mn-lt"/>
              <a:ea typeface="+mn-ea"/>
              <a:cs typeface="+mn-cs"/>
            </a:rPr>
            <a:t>）の増加は原則認められません。</a:t>
          </a:r>
          <a:endParaRPr lang="en-US" altLang="ja-JP">
            <a:solidFill>
              <a:sysClr val="windowText" lastClr="000000"/>
            </a:solidFill>
          </a:endParaRPr>
        </a:p>
      </xdr:txBody>
    </xdr:sp>
    <xdr:clientData/>
  </xdr:twoCellAnchor>
  <xdr:twoCellAnchor>
    <xdr:from>
      <xdr:col>12</xdr:col>
      <xdr:colOff>1</xdr:colOff>
      <xdr:row>9</xdr:row>
      <xdr:rowOff>0</xdr:rowOff>
    </xdr:from>
    <xdr:to>
      <xdr:col>15</xdr:col>
      <xdr:colOff>17931</xdr:colOff>
      <xdr:row>12</xdr:row>
      <xdr:rowOff>0</xdr:rowOff>
    </xdr:to>
    <xdr:grpSp>
      <xdr:nvGrpSpPr>
        <xdr:cNvPr id="4" name="グループ化 3"/>
        <xdr:cNvGrpSpPr/>
      </xdr:nvGrpSpPr>
      <xdr:grpSpPr>
        <a:xfrm>
          <a:off x="7795261" y="2438400"/>
          <a:ext cx="2806850" cy="685800"/>
          <a:chOff x="7808260" y="2447365"/>
          <a:chExt cx="2805953" cy="699247"/>
        </a:xfrm>
      </xdr:grpSpPr>
      <xdr:grpSp>
        <xdr:nvGrpSpPr>
          <xdr:cNvPr id="3" name="グループ化 2"/>
          <xdr:cNvGrpSpPr/>
        </xdr:nvGrpSpPr>
        <xdr:grpSpPr>
          <a:xfrm>
            <a:off x="7808260" y="2447365"/>
            <a:ext cx="2805953" cy="699247"/>
            <a:chOff x="17123227" y="2906486"/>
            <a:chExt cx="2816043" cy="685800"/>
          </a:xfrm>
        </xdr:grpSpPr>
        <xdr:sp textlink="">
          <xdr:nvSpPr>
            <xdr:cNvPr id="15" name="テキスト ボックス 14"/>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14" name="テキスト ボックス 13"/>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2" name="テキスト ボックス 1"/>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16" name="テキスト ボックス 15"/>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16</xdr:col>
      <xdr:colOff>425448</xdr:colOff>
      <xdr:row>9</xdr:row>
      <xdr:rowOff>1</xdr:rowOff>
    </xdr:from>
    <xdr:to>
      <xdr:col>22</xdr:col>
      <xdr:colOff>768348</xdr:colOff>
      <xdr:row>12</xdr:row>
      <xdr:rowOff>1</xdr:rowOff>
    </xdr:to>
    <xdr:grpSp>
      <xdr:nvGrpSpPr>
        <xdr:cNvPr id="18" name="グループ化 17"/>
        <xdr:cNvGrpSpPr/>
      </xdr:nvGrpSpPr>
      <xdr:grpSpPr>
        <a:xfrm>
          <a:off x="11436348" y="2438401"/>
          <a:ext cx="4617720" cy="685800"/>
          <a:chOff x="16861158" y="1961727"/>
          <a:chExt cx="4616782" cy="697805"/>
        </a:xfrm>
      </xdr:grpSpPr>
      <xdr:sp textlink="">
        <xdr:nvSpPr>
          <xdr:cNvPr id="8" name="テキスト ボックス 7"/>
          <xdr:cNvSpPr txBox="1"/>
        </xdr:nvSpPr>
        <xdr:spPr>
          <a:xfrm>
            <a:off x="16861158" y="1961727"/>
            <a:ext cx="2308391" cy="23260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年間使用時間</a:t>
            </a:r>
            <a:r>
              <a:rPr lang="en-US" altLang="ja-JP" sz="1100" b="0" i="0" u="none" strike="noStrike">
                <a:solidFill>
                  <a:sysClr val="windowText" lastClr="000000"/>
                </a:solidFill>
                <a:effectLst/>
                <a:latin typeface="+mn-ea"/>
                <a:ea typeface="+mn-ea"/>
                <a:cs typeface="+mn-cs"/>
              </a:rPr>
              <a:t>(b=tdr1)</a:t>
            </a:r>
            <a:endParaRPr lang="en-US" altLang="ja-JP">
              <a:solidFill>
                <a:sysClr val="windowText" lastClr="000000"/>
              </a:solidFill>
              <a:latin typeface="+mn-ea"/>
              <a:ea typeface="+mn-ea"/>
            </a:endParaRPr>
          </a:p>
        </xdr:txBody>
      </xdr:sp>
      <xdr:sp textlink="">
        <xdr:nvSpPr>
          <xdr:cNvPr id="10" name="テキスト ボックス 9"/>
          <xdr:cNvSpPr txBox="1"/>
        </xdr:nvSpPr>
        <xdr:spPr>
          <a:xfrm>
            <a:off x="16861158" y="2194328"/>
            <a:ext cx="2308391" cy="23158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textlink="">
        <xdr:nvSpPr>
          <xdr:cNvPr id="11" name="テキスト ボックス 10"/>
          <xdr:cNvSpPr txBox="1"/>
        </xdr:nvSpPr>
        <xdr:spPr>
          <a:xfrm>
            <a:off x="19169548" y="2194329"/>
            <a:ext cx="2308390" cy="23361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textlink="">
        <xdr:nvSpPr>
          <xdr:cNvPr id="12" name="テキスト ボックス 11"/>
          <xdr:cNvSpPr txBox="1"/>
        </xdr:nvSpPr>
        <xdr:spPr>
          <a:xfrm>
            <a:off x="16861158" y="2426930"/>
            <a:ext cx="2308391" cy="23260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textlink="">
        <xdr:nvSpPr>
          <xdr:cNvPr id="13" name="テキスト ボックス 12"/>
          <xdr:cNvSpPr txBox="1"/>
        </xdr:nvSpPr>
        <xdr:spPr>
          <a:xfrm>
            <a:off x="19169549" y="2426929"/>
            <a:ext cx="2308391" cy="23159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textlink="">
        <xdr:nvSpPr>
          <xdr:cNvPr id="17" name="テキスト ボックス 16"/>
          <xdr:cNvSpPr txBox="1"/>
        </xdr:nvSpPr>
        <xdr:spPr>
          <a:xfrm>
            <a:off x="19169549" y="1961727"/>
            <a:ext cx="2308391" cy="23462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年間使用時間</a:t>
            </a:r>
            <a:r>
              <a:rPr lang="en-US" altLang="ja-JP" sz="1100" b="0" i="0" u="none" strike="noStrike">
                <a:solidFill>
                  <a:sysClr val="windowText" lastClr="000000"/>
                </a:solidFill>
                <a:effectLst/>
                <a:latin typeface="+mn-ea"/>
                <a:ea typeface="+mn-ea"/>
                <a:cs typeface="+mn-cs"/>
              </a:rPr>
              <a:t>(b'=b)</a:t>
            </a:r>
            <a:endParaRPr lang="en-US" altLang="ja-JP">
              <a:solidFill>
                <a:sysClr val="windowText" lastClr="000000"/>
              </a:solidFill>
              <a:latin typeface="+mn-ea"/>
              <a:ea typeface="+mn-ea"/>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8</xdr:row>
      <xdr:rowOff>1</xdr:rowOff>
    </xdr:from>
    <xdr:to>
      <xdr:col>15</xdr:col>
      <xdr:colOff>497774</xdr:colOff>
      <xdr:row>9</xdr:row>
      <xdr:rowOff>1</xdr:rowOff>
    </xdr:to>
    <xdr:sp textlink="">
      <xdr:nvSpPr>
        <xdr:cNvPr id="6" name="テキスト ボックス 5"/>
        <xdr:cNvSpPr txBox="1"/>
      </xdr:nvSpPr>
      <xdr:spPr>
        <a:xfrm>
          <a:off x="10134600" y="2100944"/>
          <a:ext cx="3066803" cy="4572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定格能力の増加は原則認められません</a:t>
          </a:r>
          <a:endParaRPr lang="en-US" altLang="ja-JP">
            <a:solidFill>
              <a:sysClr val="windowText" lastClr="000000"/>
            </a:solidFill>
            <a:latin typeface="+mn-ea"/>
            <a:ea typeface="+mn-ea"/>
          </a:endParaRPr>
        </a:p>
      </xdr:txBody>
    </xdr:sp>
    <xdr:clientData/>
  </xdr:twoCellAnchor>
  <xdr:twoCellAnchor>
    <xdr:from>
      <xdr:col>21</xdr:col>
      <xdr:colOff>589643</xdr:colOff>
      <xdr:row>10</xdr:row>
      <xdr:rowOff>226784</xdr:rowOff>
    </xdr:from>
    <xdr:to>
      <xdr:col>31</xdr:col>
      <xdr:colOff>0</xdr:colOff>
      <xdr:row>13</xdr:row>
      <xdr:rowOff>0</xdr:rowOff>
    </xdr:to>
    <xdr:grpSp>
      <xdr:nvGrpSpPr>
        <xdr:cNvPr id="5" name="グループ化 4"/>
        <xdr:cNvGrpSpPr/>
      </xdr:nvGrpSpPr>
      <xdr:grpSpPr>
        <a:xfrm>
          <a:off x="18466163" y="2741384"/>
          <a:ext cx="6740797" cy="459016"/>
          <a:chOff x="11107756" y="2763228"/>
          <a:chExt cx="6700529" cy="457201"/>
        </a:xfrm>
      </xdr:grpSpPr>
      <xdr:sp textlink="">
        <xdr:nvSpPr>
          <xdr:cNvPr id="7" name="テキスト ボックス 6"/>
          <xdr:cNvSpPr txBox="1"/>
        </xdr:nvSpPr>
        <xdr:spPr>
          <a:xfrm>
            <a:off x="11107757" y="2763230"/>
            <a:ext cx="3427124" cy="22860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textlink="">
        <xdr:nvSpPr>
          <xdr:cNvPr id="8" name="テキスト ボックス 7"/>
          <xdr:cNvSpPr txBox="1"/>
        </xdr:nvSpPr>
        <xdr:spPr>
          <a:xfrm>
            <a:off x="14534881" y="2763228"/>
            <a:ext cx="327340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textlink="">
        <xdr:nvSpPr>
          <xdr:cNvPr id="9" name="テキスト ボックス 8"/>
          <xdr:cNvSpPr txBox="1"/>
        </xdr:nvSpPr>
        <xdr:spPr>
          <a:xfrm>
            <a:off x="11107756" y="2991831"/>
            <a:ext cx="3427125" cy="22859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a:t>
            </a:r>
            <a:endParaRPr lang="en-US" altLang="ja-JP">
              <a:solidFill>
                <a:sysClr val="windowText" lastClr="000000"/>
              </a:solidFill>
              <a:latin typeface="+mn-ea"/>
              <a:ea typeface="+mn-ea"/>
            </a:endParaRPr>
          </a:p>
        </xdr:txBody>
      </xdr:sp>
      <xdr:sp textlink="">
        <xdr:nvSpPr>
          <xdr:cNvPr id="10" name="テキスト ボックス 9"/>
          <xdr:cNvSpPr txBox="1"/>
        </xdr:nvSpPr>
        <xdr:spPr>
          <a:xfrm>
            <a:off x="14534882" y="2991828"/>
            <a:ext cx="3273402"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9</xdr:row>
      <xdr:rowOff>215153</xdr:rowOff>
    </xdr:from>
    <xdr:to>
      <xdr:col>15</xdr:col>
      <xdr:colOff>236924</xdr:colOff>
      <xdr:row>13</xdr:row>
      <xdr:rowOff>0</xdr:rowOff>
    </xdr:to>
    <xdr:grpSp>
      <xdr:nvGrpSpPr>
        <xdr:cNvPr id="19" name="グループ化 18"/>
        <xdr:cNvGrpSpPr/>
      </xdr:nvGrpSpPr>
      <xdr:grpSpPr>
        <a:xfrm>
          <a:off x="10142220" y="2501153"/>
          <a:ext cx="2812484" cy="699247"/>
          <a:chOff x="7808260" y="2447365"/>
          <a:chExt cx="2805953" cy="699247"/>
        </a:xfrm>
      </xdr:grpSpPr>
      <xdr:grpSp>
        <xdr:nvGrpSpPr>
          <xdr:cNvPr id="20" name="グループ化 19"/>
          <xdr:cNvGrpSpPr/>
        </xdr:nvGrpSpPr>
        <xdr:grpSpPr>
          <a:xfrm>
            <a:off x="7808260" y="2447365"/>
            <a:ext cx="2805953" cy="699247"/>
            <a:chOff x="17123227" y="2906486"/>
            <a:chExt cx="2816043" cy="685800"/>
          </a:xfrm>
        </xdr:grpSpPr>
        <xdr:sp textlink="">
          <xdr:nvSpPr>
            <xdr:cNvPr id="22" name="テキスト ボックス 21"/>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23" name="テキスト ボックス 22"/>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24" name="テキスト ボックス 23"/>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21" name="テキスト ボックス 20"/>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228600</xdr:colOff>
      <xdr:row>8</xdr:row>
      <xdr:rowOff>108857</xdr:rowOff>
    </xdr:from>
    <xdr:to>
      <xdr:col>11</xdr:col>
      <xdr:colOff>117181</xdr:colOff>
      <xdr:row>10</xdr:row>
      <xdr:rowOff>56747</xdr:rowOff>
    </xdr:to>
    <xdr:sp textlink="">
      <xdr:nvSpPr>
        <xdr:cNvPr id="25" name="テキスト ボックス 24"/>
        <xdr:cNvSpPr txBox="1"/>
      </xdr:nvSpPr>
      <xdr:spPr>
        <a:xfrm>
          <a:off x="2623457" y="2177143"/>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8</xdr:row>
      <xdr:rowOff>1</xdr:rowOff>
    </xdr:from>
    <xdr:to>
      <xdr:col>15</xdr:col>
      <xdr:colOff>497774</xdr:colOff>
      <xdr:row>9</xdr:row>
      <xdr:rowOff>1</xdr:rowOff>
    </xdr:to>
    <xdr:sp textlink="">
      <xdr:nvSpPr>
        <xdr:cNvPr id="2" name="テキスト ボックス 1"/>
        <xdr:cNvSpPr txBox="1"/>
      </xdr:nvSpPr>
      <xdr:spPr>
        <a:xfrm>
          <a:off x="10166350" y="2044701"/>
          <a:ext cx="30758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定格能力の増加は原則認められません</a:t>
          </a:r>
          <a:endParaRPr lang="en-US" altLang="ja-JP">
            <a:solidFill>
              <a:sysClr val="windowText" lastClr="000000"/>
            </a:solidFill>
            <a:latin typeface="+mn-ea"/>
            <a:ea typeface="+mn-ea"/>
          </a:endParaRPr>
        </a:p>
      </xdr:txBody>
    </xdr:sp>
    <xdr:clientData/>
  </xdr:twoCellAnchor>
  <xdr:twoCellAnchor>
    <xdr:from>
      <xdr:col>19</xdr:col>
      <xdr:colOff>-1</xdr:colOff>
      <xdr:row>11</xdr:row>
      <xdr:rowOff>-1</xdr:rowOff>
    </xdr:from>
    <xdr:to>
      <xdr:col>26</xdr:col>
      <xdr:colOff>698498</xdr:colOff>
      <xdr:row>13</xdr:row>
      <xdr:rowOff>1</xdr:rowOff>
    </xdr:to>
    <xdr:grpSp>
      <xdr:nvGrpSpPr>
        <xdr:cNvPr id="3" name="グループ化 2"/>
        <xdr:cNvGrpSpPr/>
      </xdr:nvGrpSpPr>
      <xdr:grpSpPr>
        <a:xfrm>
          <a:off x="16154399" y="2743199"/>
          <a:ext cx="6085839" cy="457202"/>
          <a:chOff x="12630744" y="2754085"/>
          <a:chExt cx="6081798" cy="457202"/>
        </a:xfrm>
      </xdr:grpSpPr>
      <xdr:sp textlink="">
        <xdr:nvSpPr>
          <xdr:cNvPr id="4" name="テキスト ボックス 3"/>
          <xdr:cNvSpPr txBox="1"/>
        </xdr:nvSpPr>
        <xdr:spPr>
          <a:xfrm>
            <a:off x="12630744" y="2754085"/>
            <a:ext cx="3285987" cy="22859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(E=a1nd1R1+a2nd2R2)</a:t>
            </a:r>
            <a:endParaRPr lang="en-US" altLang="ja-JP">
              <a:solidFill>
                <a:sysClr val="windowText" lastClr="000000"/>
              </a:solidFill>
              <a:latin typeface="+mn-ea"/>
              <a:ea typeface="+mn-ea"/>
            </a:endParaRPr>
          </a:p>
        </xdr:txBody>
      </xdr:sp>
      <xdr:sp textlink="">
        <xdr:nvSpPr>
          <xdr:cNvPr id="6" name="テキスト ボックス 5"/>
          <xdr:cNvSpPr txBox="1"/>
        </xdr:nvSpPr>
        <xdr:spPr>
          <a:xfrm>
            <a:off x="12630746" y="2982685"/>
            <a:ext cx="3449378" cy="22860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a:t>
            </a:r>
            <a:endParaRPr lang="en-US" altLang="ja-JP">
              <a:solidFill>
                <a:sysClr val="windowText" lastClr="000000"/>
              </a:solidFill>
              <a:latin typeface="+mn-ea"/>
              <a:ea typeface="+mn-ea"/>
            </a:endParaRPr>
          </a:p>
        </xdr:txBody>
      </xdr:sp>
      <xdr:sp textlink="">
        <xdr:nvSpPr>
          <xdr:cNvPr id="7" name="テキスト ボックス 6"/>
          <xdr:cNvSpPr txBox="1"/>
        </xdr:nvSpPr>
        <xdr:spPr>
          <a:xfrm>
            <a:off x="15916731" y="2982685"/>
            <a:ext cx="2795811" cy="22860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年間電力削減量</a:t>
            </a:r>
            <a:r>
              <a:rPr lang="en-US" altLang="ja-JP" sz="1100" b="0" i="0" u="none" strike="noStrike">
                <a:solidFill>
                  <a:sysClr val="windowText" lastClr="000000"/>
                </a:solidFill>
                <a:effectLst/>
                <a:latin typeface="+mn-ea"/>
                <a:ea typeface="+mn-ea"/>
                <a:cs typeface="+mn-cs"/>
              </a:rPr>
              <a:t>(=E1×(1-APFp÷APF')</a:t>
            </a:r>
            <a:endParaRPr lang="en-US" altLang="ja-JP">
              <a:solidFill>
                <a:sysClr val="windowText" lastClr="000000"/>
              </a:solidFill>
              <a:latin typeface="+mn-ea"/>
              <a:ea typeface="+mn-ea"/>
            </a:endParaRPr>
          </a:p>
        </xdr:txBody>
      </xdr:sp>
    </xdr:grpSp>
    <xdr:clientData/>
  </xdr:twoCellAnchor>
  <xdr:twoCellAnchor>
    <xdr:from>
      <xdr:col>12</xdr:col>
      <xdr:colOff>0</xdr:colOff>
      <xdr:row>9</xdr:row>
      <xdr:rowOff>215153</xdr:rowOff>
    </xdr:from>
    <xdr:to>
      <xdr:col>15</xdr:col>
      <xdr:colOff>236924</xdr:colOff>
      <xdr:row>13</xdr:row>
      <xdr:rowOff>0</xdr:rowOff>
    </xdr:to>
    <xdr:grpSp>
      <xdr:nvGrpSpPr>
        <xdr:cNvPr id="8" name="グループ化 7"/>
        <xdr:cNvGrpSpPr/>
      </xdr:nvGrpSpPr>
      <xdr:grpSpPr>
        <a:xfrm>
          <a:off x="10142220" y="2501153"/>
          <a:ext cx="2812484" cy="699247"/>
          <a:chOff x="7808260" y="2447365"/>
          <a:chExt cx="2805953" cy="699247"/>
        </a:xfrm>
      </xdr:grpSpPr>
      <xdr:grpSp>
        <xdr:nvGrpSpPr>
          <xdr:cNvPr id="9" name="グループ化 8"/>
          <xdr:cNvGrpSpPr/>
        </xdr:nvGrpSpPr>
        <xdr:grpSpPr>
          <a:xfrm>
            <a:off x="7808260" y="2447365"/>
            <a:ext cx="2805953" cy="699247"/>
            <a:chOff x="17123227" y="2906486"/>
            <a:chExt cx="2816043" cy="685800"/>
          </a:xfrm>
        </xdr:grpSpPr>
        <xdr:sp textlink="">
          <xdr:nvSpPr>
            <xdr:cNvPr id="11" name="テキスト ボックス 10"/>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12" name="テキスト ボックス 11"/>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13" name="テキスト ボックス 12"/>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10" name="テキスト ボックス 9"/>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281214</xdr:colOff>
      <xdr:row>10</xdr:row>
      <xdr:rowOff>9071</xdr:rowOff>
    </xdr:from>
    <xdr:to>
      <xdr:col>11</xdr:col>
      <xdr:colOff>453571</xdr:colOff>
      <xdr:row>11</xdr:row>
      <xdr:rowOff>226784</xdr:rowOff>
    </xdr:to>
    <xdr:sp textlink="">
      <xdr:nvSpPr>
        <xdr:cNvPr id="14" name="テキスト ボックス 13"/>
        <xdr:cNvSpPr txBox="1"/>
      </xdr:nvSpPr>
      <xdr:spPr>
        <a:xfrm>
          <a:off x="2676071" y="2503714"/>
          <a:ext cx="7066643" cy="44449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8</xdr:row>
      <xdr:rowOff>0</xdr:rowOff>
    </xdr:from>
    <xdr:to>
      <xdr:col>15</xdr:col>
      <xdr:colOff>850899</xdr:colOff>
      <xdr:row>9</xdr:row>
      <xdr:rowOff>0</xdr:rowOff>
    </xdr:to>
    <xdr:sp textlink="">
      <xdr:nvSpPr>
        <xdr:cNvPr id="5" name="テキスト ボックス 4"/>
        <xdr:cNvSpPr txBox="1"/>
      </xdr:nvSpPr>
      <xdr:spPr>
        <a:xfrm>
          <a:off x="10185400" y="2070100"/>
          <a:ext cx="3441699"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26</xdr:col>
      <xdr:colOff>0</xdr:colOff>
      <xdr:row>12</xdr:row>
      <xdr:rowOff>0</xdr:rowOff>
    </xdr:from>
    <xdr:to>
      <xdr:col>38</xdr:col>
      <xdr:colOff>0</xdr:colOff>
      <xdr:row>15</xdr:row>
      <xdr:rowOff>227722</xdr:rowOff>
    </xdr:to>
    <xdr:grpSp>
      <xdr:nvGrpSpPr>
        <xdr:cNvPr id="2" name="グループ化 1"/>
        <xdr:cNvGrpSpPr/>
      </xdr:nvGrpSpPr>
      <xdr:grpSpPr>
        <a:xfrm>
          <a:off x="21556980" y="3002280"/>
          <a:ext cx="8572500" cy="944002"/>
          <a:chOff x="18154042" y="2178021"/>
          <a:chExt cx="8559948" cy="941257"/>
        </a:xfrm>
      </xdr:grpSpPr>
      <xdr:sp textlink="">
        <xdr:nvSpPr>
          <xdr:cNvPr id="7" name="テキスト ボックス 6"/>
          <xdr:cNvSpPr txBox="1"/>
        </xdr:nvSpPr>
        <xdr:spPr>
          <a:xfrm>
            <a:off x="18154042" y="2178021"/>
            <a:ext cx="4360892" cy="22247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(E=pn×{a1d1R1+a2d2R2})</a:t>
            </a:r>
            <a:endParaRPr lang="en-US" altLang="ja-JP">
              <a:solidFill>
                <a:sysClr val="windowText" lastClr="000000"/>
              </a:solidFill>
              <a:latin typeface="+mn-ea"/>
              <a:ea typeface="+mn-ea"/>
            </a:endParaRPr>
          </a:p>
        </xdr:txBody>
      </xdr:sp>
      <xdr:sp textlink="">
        <xdr:nvSpPr>
          <xdr:cNvPr id="8" name="テキスト ボックス 7"/>
          <xdr:cNvSpPr txBox="1"/>
        </xdr:nvSpPr>
        <xdr:spPr>
          <a:xfrm>
            <a:off x="22517627" y="2182907"/>
            <a:ext cx="4196363" cy="21759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(E'=n'×{a'1d'1R1+a'2d'2R2})</a:t>
            </a:r>
            <a:endParaRPr lang="en-US" altLang="ja-JP">
              <a:solidFill>
                <a:sysClr val="windowText" lastClr="000000"/>
              </a:solidFill>
              <a:latin typeface="+mn-ea"/>
              <a:ea typeface="+mn-ea"/>
            </a:endParaRPr>
          </a:p>
        </xdr:txBody>
      </xdr:sp>
      <xdr:sp textlink="">
        <xdr:nvSpPr>
          <xdr:cNvPr id="9" name="テキスト ボックス 8"/>
          <xdr:cNvSpPr txBox="1"/>
        </xdr:nvSpPr>
        <xdr:spPr>
          <a:xfrm>
            <a:off x="18155042" y="2400500"/>
            <a:ext cx="4359892" cy="2481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(F=pn</a:t>
            </a:r>
            <a:r>
              <a:rPr lang="en-US" altLang="ja-JP" sz="1100" b="0" i="0">
                <a:solidFill>
                  <a:schemeClr val="dk1"/>
                </a:solidFill>
                <a:effectLst/>
                <a:latin typeface="+mn-lt"/>
                <a:ea typeface="+mn-ea"/>
                <a:cs typeface="+mn-cs"/>
              </a:rPr>
              <a:t>×</a:t>
            </a:r>
            <a:r>
              <a:rPr lang="en-US" altLang="ja-JP" sz="1100" b="0" i="0" u="none" strike="noStrike">
                <a:solidFill>
                  <a:sysClr val="windowText" lastClr="000000"/>
                </a:solidFill>
                <a:effectLst/>
                <a:latin typeface="+mn-ea"/>
                <a:ea typeface="+mn-ea"/>
                <a:cs typeface="+mn-cs"/>
              </a:rPr>
              <a:t>{b1d1R1+b2d2R2}×860÷K)</a:t>
            </a:r>
            <a:endParaRPr lang="en-US" altLang="ja-JP">
              <a:solidFill>
                <a:sysClr val="windowText" lastClr="000000"/>
              </a:solidFill>
              <a:latin typeface="+mn-ea"/>
              <a:ea typeface="+mn-ea"/>
            </a:endParaRPr>
          </a:p>
        </xdr:txBody>
      </xdr:sp>
      <xdr:sp textlink="">
        <xdr:nvSpPr>
          <xdr:cNvPr id="10" name="テキスト ボックス 9"/>
          <xdr:cNvSpPr txBox="1"/>
        </xdr:nvSpPr>
        <xdr:spPr>
          <a:xfrm>
            <a:off x="22517625" y="2400500"/>
            <a:ext cx="4196365" cy="2481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(F'=n'×{b'1d'1R1+b'2d'2R2}×860÷K)</a:t>
            </a:r>
            <a:endParaRPr lang="en-US" altLang="ja-JP">
              <a:solidFill>
                <a:sysClr val="windowText" lastClr="000000"/>
              </a:solidFill>
              <a:latin typeface="+mn-ea"/>
              <a:ea typeface="+mn-ea"/>
            </a:endParaRPr>
          </a:p>
        </xdr:txBody>
      </xdr:sp>
      <xdr:sp textlink="">
        <xdr:nvSpPr>
          <xdr:cNvPr id="11" name="テキスト ボックス 10"/>
          <xdr:cNvSpPr txBox="1"/>
        </xdr:nvSpPr>
        <xdr:spPr>
          <a:xfrm>
            <a:off x="18154043" y="2648650"/>
            <a:ext cx="4360893" cy="470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排出量：都市ガス</a:t>
            </a:r>
            <a:r>
              <a:rPr lang="en-US" altLang="ja-JP" sz="1100" b="0" i="0" u="none" strike="noStrike">
                <a:solidFill>
                  <a:sysClr val="windowText" lastClr="000000"/>
                </a:solidFill>
                <a:effectLst/>
                <a:latin typeface="+mn-ea"/>
                <a:ea typeface="+mn-ea"/>
                <a:cs typeface="+mn-cs"/>
              </a:rPr>
              <a:t>(C=E1×0.000457+F×0.002244)</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ea"/>
                <a:ea typeface="+mn-ea"/>
                <a:cs typeface="+mn-cs"/>
              </a:rPr>
              <a:t>CO2</a:t>
            </a:r>
            <a:r>
              <a:rPr lang="ja-JP" altLang="ja-JP" sz="1100" b="0" i="0">
                <a:solidFill>
                  <a:schemeClr val="dk1"/>
                </a:solidFill>
                <a:effectLst/>
                <a:latin typeface="+mn-ea"/>
                <a:ea typeface="+mn-ea"/>
                <a:cs typeface="+mn-cs"/>
              </a:rPr>
              <a:t>排出量：</a:t>
            </a:r>
            <a:r>
              <a:rPr lang="en-US" altLang="ja-JP" sz="1100" b="0" i="0">
                <a:solidFill>
                  <a:schemeClr val="dk1"/>
                </a:solidFill>
                <a:effectLst/>
                <a:latin typeface="+mn-ea"/>
                <a:ea typeface="+mn-ea"/>
                <a:cs typeface="+mn-cs"/>
              </a:rPr>
              <a:t>LPG</a:t>
            </a:r>
            <a:r>
              <a:rPr lang="ja-JP" altLang="en-US"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(C=E1×0.000457+F÷0.458×0.002999)</a:t>
            </a:r>
            <a:endParaRPr lang="ja-JP" altLang="ja-JP">
              <a:effectLst/>
              <a:latin typeface="+mn-ea"/>
              <a:ea typeface="+mn-ea"/>
            </a:endParaRPr>
          </a:p>
        </xdr:txBody>
      </xdr:sp>
      <xdr:sp textlink="">
        <xdr:nvSpPr>
          <xdr:cNvPr id="12" name="テキスト ボックス 11"/>
          <xdr:cNvSpPr txBox="1"/>
        </xdr:nvSpPr>
        <xdr:spPr>
          <a:xfrm>
            <a:off x="22514936" y="2648649"/>
            <a:ext cx="4199054" cy="47062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ja-JP" altLang="ja-JP" sz="1100" b="0" i="0">
                <a:solidFill>
                  <a:schemeClr val="dk1"/>
                </a:solidFill>
                <a:effectLst/>
                <a:latin typeface="+mn-ea"/>
                <a:ea typeface="+mn-ea"/>
                <a:cs typeface="+mn-cs"/>
              </a:rPr>
              <a:t>：都市ガス</a:t>
            </a:r>
            <a:r>
              <a:rPr lang="en-US" altLang="ja-JP" sz="1100" b="0" i="0" u="none" strike="noStrike">
                <a:solidFill>
                  <a:sysClr val="windowText" lastClr="000000"/>
                </a:solidFill>
                <a:effectLst/>
                <a:latin typeface="+mn-ea"/>
                <a:ea typeface="+mn-ea"/>
                <a:cs typeface="+mn-cs"/>
              </a:rPr>
              <a:t>(C'=E'×0.000457+F'</a:t>
            </a:r>
            <a:r>
              <a:rPr lang="en-US" altLang="ja-JP" sz="1100" b="0" i="0">
                <a:solidFill>
                  <a:schemeClr val="dk1"/>
                </a:solidFill>
                <a:effectLst/>
                <a:latin typeface="+mn-ea"/>
                <a:ea typeface="+mn-ea"/>
                <a:cs typeface="+mn-cs"/>
              </a:rPr>
              <a:t>×0.002244</a:t>
            </a:r>
            <a:r>
              <a:rPr lang="en-US" altLang="ja-JP" sz="1100" b="0" i="0" u="none" strike="noStrike">
                <a:solidFill>
                  <a:sysClr val="windowText" lastClr="000000"/>
                </a:solidFill>
                <a:effectLst/>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ea"/>
                <a:ea typeface="+mn-ea"/>
                <a:cs typeface="+mn-cs"/>
              </a:rPr>
              <a:t>CO2</a:t>
            </a:r>
            <a:r>
              <a:rPr lang="ja-JP" altLang="ja-JP" sz="1100" b="0" i="0">
                <a:solidFill>
                  <a:schemeClr val="dk1"/>
                </a:solidFill>
                <a:effectLst/>
                <a:latin typeface="+mn-ea"/>
                <a:ea typeface="+mn-ea"/>
                <a:cs typeface="+mn-cs"/>
              </a:rPr>
              <a:t>排出量：</a:t>
            </a:r>
            <a:r>
              <a:rPr lang="en-US" altLang="ja-JP" sz="1100" b="0" i="0">
                <a:solidFill>
                  <a:schemeClr val="dk1"/>
                </a:solidFill>
                <a:effectLst/>
                <a:latin typeface="+mn-ea"/>
                <a:ea typeface="+mn-ea"/>
                <a:cs typeface="+mn-cs"/>
              </a:rPr>
              <a:t>LPG</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(C'=E'×0.000457+F'÷0.458×0.002999)</a:t>
            </a:r>
            <a:endParaRPr lang="ja-JP" altLang="ja-JP">
              <a:effectLst/>
              <a:latin typeface="+mn-ea"/>
              <a:ea typeface="+mn-ea"/>
            </a:endParaRPr>
          </a:p>
        </xdr:txBody>
      </xdr:sp>
    </xdr:grpSp>
    <xdr:clientData/>
  </xdr:twoCellAnchor>
  <xdr:twoCellAnchor>
    <xdr:from>
      <xdr:col>12</xdr:col>
      <xdr:colOff>0</xdr:colOff>
      <xdr:row>13</xdr:row>
      <xdr:rowOff>11953</xdr:rowOff>
    </xdr:from>
    <xdr:to>
      <xdr:col>15</xdr:col>
      <xdr:colOff>215153</xdr:colOff>
      <xdr:row>16</xdr:row>
      <xdr:rowOff>0</xdr:rowOff>
    </xdr:to>
    <xdr:grpSp>
      <xdr:nvGrpSpPr>
        <xdr:cNvPr id="21" name="グループ化 20"/>
        <xdr:cNvGrpSpPr/>
      </xdr:nvGrpSpPr>
      <xdr:grpSpPr>
        <a:xfrm>
          <a:off x="10157460" y="3242833"/>
          <a:ext cx="2798333" cy="704327"/>
          <a:chOff x="7808260" y="2447365"/>
          <a:chExt cx="2805953" cy="699247"/>
        </a:xfrm>
      </xdr:grpSpPr>
      <xdr:grpSp>
        <xdr:nvGrpSpPr>
          <xdr:cNvPr id="22" name="グループ化 21"/>
          <xdr:cNvGrpSpPr/>
        </xdr:nvGrpSpPr>
        <xdr:grpSpPr>
          <a:xfrm>
            <a:off x="7808260" y="2447365"/>
            <a:ext cx="2805953" cy="699247"/>
            <a:chOff x="17123227" y="2906486"/>
            <a:chExt cx="2816043" cy="685800"/>
          </a:xfrm>
        </xdr:grpSpPr>
        <xdr:sp textlink="">
          <xdr:nvSpPr>
            <xdr:cNvPr id="24" name="テキスト ボックス 23"/>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25" name="テキスト ボックス 24"/>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26" name="テキスト ボックス 25"/>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23" name="テキスト ボックス 22"/>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152400</xdr:colOff>
      <xdr:row>11</xdr:row>
      <xdr:rowOff>12700</xdr:rowOff>
    </xdr:from>
    <xdr:to>
      <xdr:col>11</xdr:col>
      <xdr:colOff>11953</xdr:colOff>
      <xdr:row>12</xdr:row>
      <xdr:rowOff>189190</xdr:rowOff>
    </xdr:to>
    <xdr:sp textlink="">
      <xdr:nvSpPr>
        <xdr:cNvPr id="27" name="テキスト ボックス 26"/>
        <xdr:cNvSpPr txBox="1"/>
      </xdr:nvSpPr>
      <xdr:spPr>
        <a:xfrm>
          <a:off x="2565400" y="2768600"/>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8</xdr:row>
      <xdr:rowOff>0</xdr:rowOff>
    </xdr:from>
    <xdr:to>
      <xdr:col>15</xdr:col>
      <xdr:colOff>850899</xdr:colOff>
      <xdr:row>9</xdr:row>
      <xdr:rowOff>0</xdr:rowOff>
    </xdr:to>
    <xdr:sp textlink="">
      <xdr:nvSpPr>
        <xdr:cNvPr id="2" name="テキスト ボックス 1"/>
        <xdr:cNvSpPr txBox="1"/>
      </xdr:nvSpPr>
      <xdr:spPr>
        <a:xfrm>
          <a:off x="10179050" y="2070100"/>
          <a:ext cx="3435349"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22</xdr:col>
      <xdr:colOff>2</xdr:colOff>
      <xdr:row>12</xdr:row>
      <xdr:rowOff>0</xdr:rowOff>
    </xdr:from>
    <xdr:to>
      <xdr:col>31</xdr:col>
      <xdr:colOff>2</xdr:colOff>
      <xdr:row>16</xdr:row>
      <xdr:rowOff>1</xdr:rowOff>
    </xdr:to>
    <xdr:grpSp>
      <xdr:nvGrpSpPr>
        <xdr:cNvPr id="3" name="グループ化 2"/>
        <xdr:cNvGrpSpPr/>
      </xdr:nvGrpSpPr>
      <xdr:grpSpPr>
        <a:xfrm>
          <a:off x="18112742" y="3002280"/>
          <a:ext cx="7109460" cy="944881"/>
          <a:chOff x="18886534" y="1870067"/>
          <a:chExt cx="7095077" cy="909098"/>
        </a:xfrm>
      </xdr:grpSpPr>
      <xdr:sp textlink="">
        <xdr:nvSpPr>
          <xdr:cNvPr id="4" name="テキスト ボックス 3"/>
          <xdr:cNvSpPr txBox="1"/>
        </xdr:nvSpPr>
        <xdr:spPr>
          <a:xfrm>
            <a:off x="18886534" y="1870067"/>
            <a:ext cx="4304164" cy="21440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eaLnBrk="1" fontAlgn="auto" latinLnBrk="0" hangingPunct="1"/>
            <a:r>
              <a:rPr lang="ja-JP" altLang="ja-JP" sz="1100" b="0" i="0">
                <a:solidFill>
                  <a:schemeClr val="dk1"/>
                </a:solidFill>
                <a:effectLst/>
                <a:latin typeface="+mn-ea"/>
                <a:ea typeface="+mn-ea"/>
                <a:cs typeface="+mn-cs"/>
              </a:rPr>
              <a:t>年間電力消費量</a:t>
            </a:r>
            <a:r>
              <a:rPr lang="en-US" altLang="ja-JP" sz="1100" b="0" i="0">
                <a:solidFill>
                  <a:schemeClr val="dk1"/>
                </a:solidFill>
                <a:effectLst/>
                <a:latin typeface="+mn-ea"/>
                <a:ea typeface="+mn-ea"/>
                <a:cs typeface="+mn-cs"/>
              </a:rPr>
              <a:t>(E=pn×{a1d1R1+a2d2R2})</a:t>
            </a:r>
            <a:endParaRPr lang="ja-JP" altLang="ja-JP">
              <a:effectLst/>
              <a:latin typeface="+mn-ea"/>
              <a:ea typeface="+mn-ea"/>
            </a:endParaRPr>
          </a:p>
        </xdr:txBody>
      </xdr:sp>
      <xdr:sp textlink="">
        <xdr:nvSpPr>
          <xdr:cNvPr id="6" name="テキスト ボックス 5"/>
          <xdr:cNvSpPr txBox="1"/>
        </xdr:nvSpPr>
        <xdr:spPr>
          <a:xfrm>
            <a:off x="18886534" y="2084476"/>
            <a:ext cx="4304166" cy="24013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eaLnBrk="1" fontAlgn="auto" latinLnBrk="0" hangingPunct="1"/>
            <a:r>
              <a:rPr lang="ja-JP" altLang="ja-JP" sz="1100" b="0" i="0">
                <a:solidFill>
                  <a:schemeClr val="dk1"/>
                </a:solidFill>
                <a:effectLst/>
                <a:latin typeface="+mn-ea"/>
                <a:ea typeface="+mn-ea"/>
                <a:cs typeface="+mn-cs"/>
              </a:rPr>
              <a:t>年間消費ガス量</a:t>
            </a:r>
            <a:r>
              <a:rPr lang="en-US" altLang="ja-JP" sz="1100" b="0" i="0">
                <a:solidFill>
                  <a:schemeClr val="dk1"/>
                </a:solidFill>
                <a:effectLst/>
                <a:latin typeface="+mn-ea"/>
                <a:ea typeface="+mn-ea"/>
                <a:cs typeface="+mn-cs"/>
              </a:rPr>
              <a:t>(F=pn×{b1d1R1+b2d2R2}×860÷K)</a:t>
            </a:r>
            <a:endParaRPr lang="ja-JP" altLang="ja-JP">
              <a:effectLst/>
              <a:latin typeface="+mn-ea"/>
              <a:ea typeface="+mn-ea"/>
            </a:endParaRPr>
          </a:p>
        </xdr:txBody>
      </xdr:sp>
      <xdr:sp textlink="">
        <xdr:nvSpPr>
          <xdr:cNvPr id="8" name="テキスト ボックス 7"/>
          <xdr:cNvSpPr txBox="1"/>
        </xdr:nvSpPr>
        <xdr:spPr>
          <a:xfrm>
            <a:off x="18886534" y="2324615"/>
            <a:ext cx="4304166" cy="4545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eaLnBrk="1" fontAlgn="auto" latinLnBrk="0" hangingPunct="1"/>
            <a:r>
              <a:rPr lang="en-US" altLang="ja-JP" sz="1100" b="0" i="0">
                <a:solidFill>
                  <a:schemeClr val="dk1"/>
                </a:solidFill>
                <a:effectLst/>
                <a:latin typeface="+mn-ea"/>
                <a:ea typeface="+mn-ea"/>
                <a:cs typeface="+mn-cs"/>
              </a:rPr>
              <a:t>CO2</a:t>
            </a:r>
            <a:r>
              <a:rPr lang="ja-JP" altLang="ja-JP" sz="1100" b="0" i="0">
                <a:solidFill>
                  <a:schemeClr val="dk1"/>
                </a:solidFill>
                <a:effectLst/>
                <a:latin typeface="+mn-ea"/>
                <a:ea typeface="+mn-ea"/>
                <a:cs typeface="+mn-cs"/>
              </a:rPr>
              <a:t>排出量：都市ガス</a:t>
            </a:r>
            <a:r>
              <a:rPr lang="en-US" altLang="ja-JP" sz="1100" b="0" i="0">
                <a:solidFill>
                  <a:schemeClr val="dk1"/>
                </a:solidFill>
                <a:effectLst/>
                <a:latin typeface="+mn-ea"/>
                <a:ea typeface="+mn-ea"/>
                <a:cs typeface="+mn-cs"/>
              </a:rPr>
              <a:t>(C=E×0.000457+F×0.002244)</a:t>
            </a:r>
            <a:endParaRPr lang="ja-JP" altLang="ja-JP">
              <a:effectLst/>
              <a:latin typeface="+mn-ea"/>
              <a:ea typeface="+mn-ea"/>
            </a:endParaRPr>
          </a:p>
          <a:p>
            <a:pPr eaLnBrk="1" fontAlgn="auto" latinLnBrk="0" hangingPunct="1"/>
            <a:r>
              <a:rPr lang="en-US" altLang="ja-JP" sz="1100" b="0" i="0">
                <a:solidFill>
                  <a:schemeClr val="dk1"/>
                </a:solidFill>
                <a:effectLst/>
                <a:latin typeface="+mn-ea"/>
                <a:ea typeface="+mn-ea"/>
                <a:cs typeface="+mn-cs"/>
              </a:rPr>
              <a:t>CO2</a:t>
            </a:r>
            <a:r>
              <a:rPr lang="ja-JP" altLang="ja-JP" sz="1100" b="0" i="0">
                <a:solidFill>
                  <a:schemeClr val="dk1"/>
                </a:solidFill>
                <a:effectLst/>
                <a:latin typeface="+mn-ea"/>
                <a:ea typeface="+mn-ea"/>
                <a:cs typeface="+mn-cs"/>
              </a:rPr>
              <a:t>排出量：</a:t>
            </a:r>
            <a:r>
              <a:rPr lang="en-US" altLang="ja-JP" sz="1100" b="0" i="0">
                <a:solidFill>
                  <a:schemeClr val="dk1"/>
                </a:solidFill>
                <a:effectLst/>
                <a:latin typeface="+mn-ea"/>
                <a:ea typeface="+mn-ea"/>
                <a:cs typeface="+mn-cs"/>
              </a:rPr>
              <a:t>LPG</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(C=E×0.000457+F÷0.458×0.002999)</a:t>
            </a:r>
            <a:endParaRPr lang="ja-JP" altLang="ja-JP">
              <a:effectLst/>
              <a:latin typeface="+mn-ea"/>
              <a:ea typeface="+mn-ea"/>
            </a:endParaRPr>
          </a:p>
        </xdr:txBody>
      </xdr:sp>
      <xdr:sp textlink="">
        <xdr:nvSpPr>
          <xdr:cNvPr id="9" name="テキスト ボックス 8"/>
          <xdr:cNvSpPr txBox="1"/>
        </xdr:nvSpPr>
        <xdr:spPr>
          <a:xfrm>
            <a:off x="23190699" y="2564754"/>
            <a:ext cx="2790912" cy="21441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eaLnBrk="1" fontAlgn="auto" latinLnBrk="0" hangingPunct="1"/>
            <a:r>
              <a:rPr lang="ja-JP" altLang="ja-JP" sz="1100" b="0" i="0">
                <a:solidFill>
                  <a:schemeClr val="dk1"/>
                </a:solidFill>
                <a:effectLst/>
                <a:latin typeface="+mn-ea"/>
                <a:ea typeface="+mn-ea"/>
                <a:cs typeface="+mn-cs"/>
              </a:rPr>
              <a:t>年間電力削減量</a:t>
            </a:r>
            <a:r>
              <a:rPr lang="en-US" altLang="ja-JP" sz="1100" b="0" i="0">
                <a:solidFill>
                  <a:schemeClr val="dk1"/>
                </a:solidFill>
                <a:effectLst/>
                <a:latin typeface="+mn-ea"/>
                <a:ea typeface="+mn-ea"/>
                <a:cs typeface="+mn-cs"/>
              </a:rPr>
              <a:t>(=E×(1-APFp÷APF')</a:t>
            </a:r>
            <a:endParaRPr lang="ja-JP" altLang="ja-JP">
              <a:effectLst/>
              <a:latin typeface="+mn-ea"/>
              <a:ea typeface="+mn-ea"/>
            </a:endParaRPr>
          </a:p>
        </xdr:txBody>
      </xdr:sp>
    </xdr:grpSp>
    <xdr:clientData/>
  </xdr:twoCellAnchor>
  <xdr:twoCellAnchor>
    <xdr:from>
      <xdr:col>12</xdr:col>
      <xdr:colOff>0</xdr:colOff>
      <xdr:row>13</xdr:row>
      <xdr:rowOff>11953</xdr:rowOff>
    </xdr:from>
    <xdr:to>
      <xdr:col>15</xdr:col>
      <xdr:colOff>215153</xdr:colOff>
      <xdr:row>16</xdr:row>
      <xdr:rowOff>0</xdr:rowOff>
    </xdr:to>
    <xdr:grpSp>
      <xdr:nvGrpSpPr>
        <xdr:cNvPr id="10" name="グループ化 9"/>
        <xdr:cNvGrpSpPr/>
      </xdr:nvGrpSpPr>
      <xdr:grpSpPr>
        <a:xfrm>
          <a:off x="10157460" y="3242833"/>
          <a:ext cx="2798333" cy="704327"/>
          <a:chOff x="7808260" y="2447365"/>
          <a:chExt cx="2805953" cy="699247"/>
        </a:xfrm>
      </xdr:grpSpPr>
      <xdr:grpSp>
        <xdr:nvGrpSpPr>
          <xdr:cNvPr id="11" name="グループ化 10"/>
          <xdr:cNvGrpSpPr/>
        </xdr:nvGrpSpPr>
        <xdr:grpSpPr>
          <a:xfrm>
            <a:off x="7808260" y="2447365"/>
            <a:ext cx="2805953" cy="699247"/>
            <a:chOff x="17123227" y="2906486"/>
            <a:chExt cx="2816043" cy="685800"/>
          </a:xfrm>
        </xdr:grpSpPr>
        <xdr:sp textlink="">
          <xdr:nvSpPr>
            <xdr:cNvPr id="13" name="テキスト ボックス 12"/>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14" name="テキスト ボックス 13"/>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15" name="テキスト ボックス 14"/>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12" name="テキスト ボックス 11"/>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152400</xdr:colOff>
      <xdr:row>11</xdr:row>
      <xdr:rowOff>12700</xdr:rowOff>
    </xdr:from>
    <xdr:to>
      <xdr:col>11</xdr:col>
      <xdr:colOff>11953</xdr:colOff>
      <xdr:row>12</xdr:row>
      <xdr:rowOff>189190</xdr:rowOff>
    </xdr:to>
    <xdr:sp textlink="">
      <xdr:nvSpPr>
        <xdr:cNvPr id="16" name="テキスト ボックス 15"/>
        <xdr:cNvSpPr txBox="1"/>
      </xdr:nvSpPr>
      <xdr:spPr>
        <a:xfrm>
          <a:off x="2559050" y="2768600"/>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9</xdr:row>
      <xdr:rowOff>0</xdr:rowOff>
    </xdr:from>
    <xdr:to>
      <xdr:col>16</xdr:col>
      <xdr:colOff>0</xdr:colOff>
      <xdr:row>10</xdr:row>
      <xdr:rowOff>0</xdr:rowOff>
    </xdr:to>
    <xdr:sp textlink="">
      <xdr:nvSpPr>
        <xdr:cNvPr id="7" name="テキスト ボックス 6"/>
        <xdr:cNvSpPr txBox="1"/>
      </xdr:nvSpPr>
      <xdr:spPr>
        <a:xfrm>
          <a:off x="8621486" y="2198914"/>
          <a:ext cx="2917371"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12</xdr:col>
      <xdr:colOff>0</xdr:colOff>
      <xdr:row>10</xdr:row>
      <xdr:rowOff>215153</xdr:rowOff>
    </xdr:from>
    <xdr:to>
      <xdr:col>15</xdr:col>
      <xdr:colOff>617925</xdr:colOff>
      <xdr:row>14</xdr:row>
      <xdr:rowOff>0</xdr:rowOff>
    </xdr:to>
    <xdr:grpSp>
      <xdr:nvGrpSpPr>
        <xdr:cNvPr id="21" name="グループ化 20"/>
        <xdr:cNvGrpSpPr/>
      </xdr:nvGrpSpPr>
      <xdr:grpSpPr>
        <a:xfrm>
          <a:off x="8463643" y="2628153"/>
          <a:ext cx="2795068" cy="691990"/>
          <a:chOff x="7808260" y="2447365"/>
          <a:chExt cx="2805953" cy="699247"/>
        </a:xfrm>
      </xdr:grpSpPr>
      <xdr:grpSp>
        <xdr:nvGrpSpPr>
          <xdr:cNvPr id="22" name="グループ化 21"/>
          <xdr:cNvGrpSpPr/>
        </xdr:nvGrpSpPr>
        <xdr:grpSpPr>
          <a:xfrm>
            <a:off x="7808260" y="2447365"/>
            <a:ext cx="2805953" cy="699247"/>
            <a:chOff x="17123227" y="2906486"/>
            <a:chExt cx="2816043" cy="685800"/>
          </a:xfrm>
        </xdr:grpSpPr>
        <xdr:sp textlink="">
          <xdr:nvSpPr>
            <xdr:cNvPr id="24" name="テキスト ボックス 23"/>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25" name="テキスト ボックス 24"/>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26" name="テキスト ボックス 25"/>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23" name="テキスト ボックス 22"/>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1</xdr:col>
      <xdr:colOff>381000</xdr:colOff>
      <xdr:row>7</xdr:row>
      <xdr:rowOff>108857</xdr:rowOff>
    </xdr:from>
    <xdr:to>
      <xdr:col>11</xdr:col>
      <xdr:colOff>62753</xdr:colOff>
      <xdr:row>9</xdr:row>
      <xdr:rowOff>56747</xdr:rowOff>
    </xdr:to>
    <xdr:sp textlink="">
      <xdr:nvSpPr>
        <xdr:cNvPr id="27" name="テキスト ボックス 26"/>
        <xdr:cNvSpPr txBox="1"/>
      </xdr:nvSpPr>
      <xdr:spPr>
        <a:xfrm>
          <a:off x="1186543" y="1850571"/>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twoCellAnchor>
    <xdr:from>
      <xdr:col>32</xdr:col>
      <xdr:colOff>698499</xdr:colOff>
      <xdr:row>11</xdr:row>
      <xdr:rowOff>0</xdr:rowOff>
    </xdr:from>
    <xdr:to>
      <xdr:col>41</xdr:col>
      <xdr:colOff>0</xdr:colOff>
      <xdr:row>14</xdr:row>
      <xdr:rowOff>2</xdr:rowOff>
    </xdr:to>
    <xdr:grpSp>
      <xdr:nvGrpSpPr>
        <xdr:cNvPr id="2" name="グループ化 1"/>
        <xdr:cNvGrpSpPr/>
      </xdr:nvGrpSpPr>
      <xdr:grpSpPr>
        <a:xfrm>
          <a:off x="23494999" y="2639786"/>
          <a:ext cx="5588001" cy="680359"/>
          <a:chOff x="22101782" y="2771773"/>
          <a:chExt cx="5588002" cy="680359"/>
        </a:xfrm>
      </xdr:grpSpPr>
      <xdr:sp textlink="">
        <xdr:nvSpPr>
          <xdr:cNvPr id="9" name="テキスト ボックス 8"/>
          <xdr:cNvSpPr txBox="1"/>
        </xdr:nvSpPr>
        <xdr:spPr>
          <a:xfrm>
            <a:off x="22101782" y="2771773"/>
            <a:ext cx="2794002" cy="22678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加熱式設備：年間燃料消費量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textlink="">
        <xdr:nvSpPr>
          <xdr:cNvPr id="10" name="テキスト ボックス 9"/>
          <xdr:cNvSpPr txBox="1"/>
        </xdr:nvSpPr>
        <xdr:spPr>
          <a:xfrm>
            <a:off x="24895783" y="2998559"/>
            <a:ext cx="2794001" cy="22678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年間燃料消費量</a:t>
            </a:r>
            <a:r>
              <a:rPr lang="en-US" altLang="ja-JP" sz="1100" b="0" i="0" u="none" strike="noStrike">
                <a:solidFill>
                  <a:sysClr val="windowText" lastClr="000000"/>
                </a:solidFill>
                <a:effectLst/>
                <a:latin typeface="+mn-ea"/>
                <a:ea typeface="+mn-ea"/>
                <a:cs typeface="+mn-cs"/>
              </a:rPr>
              <a:t>(F'=A'n'b')</a:t>
            </a:r>
            <a:endParaRPr lang="en-US" altLang="ja-JP">
              <a:solidFill>
                <a:sysClr val="windowText" lastClr="000000"/>
              </a:solidFill>
              <a:latin typeface="+mn-ea"/>
              <a:ea typeface="+mn-ea"/>
            </a:endParaRPr>
          </a:p>
        </xdr:txBody>
      </xdr:sp>
      <xdr:sp textlink="">
        <xdr:nvSpPr>
          <xdr:cNvPr id="11" name="テキスト ボックス 10"/>
          <xdr:cNvSpPr txBox="1"/>
        </xdr:nvSpPr>
        <xdr:spPr>
          <a:xfrm>
            <a:off x="22101782" y="3225346"/>
            <a:ext cx="2794000" cy="22678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textlink="">
        <xdr:nvSpPr>
          <xdr:cNvPr id="12" name="テキスト ボックス 11"/>
          <xdr:cNvSpPr txBox="1"/>
        </xdr:nvSpPr>
        <xdr:spPr>
          <a:xfrm>
            <a:off x="24895783" y="3227346"/>
            <a:ext cx="2794000" cy="22478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textlink="">
        <xdr:nvSpPr>
          <xdr:cNvPr id="15" name="テキスト ボックス 14"/>
          <xdr:cNvSpPr txBox="1"/>
        </xdr:nvSpPr>
        <xdr:spPr>
          <a:xfrm>
            <a:off x="22101782" y="2998560"/>
            <a:ext cx="2794000" cy="22678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HP</a:t>
            </a:r>
            <a:r>
              <a:rPr lang="ja-JP" altLang="en-US" sz="1100" b="0" i="0" u="none" strike="noStrike">
                <a:solidFill>
                  <a:sysClr val="windowText" lastClr="000000"/>
                </a:solidFill>
                <a:effectLst/>
                <a:latin typeface="+mn-ea"/>
                <a:ea typeface="+mn-ea"/>
                <a:cs typeface="+mn-cs"/>
              </a:rPr>
              <a:t>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7</xdr:row>
      <xdr:rowOff>0</xdr:rowOff>
    </xdr:from>
    <xdr:to>
      <xdr:col>17</xdr:col>
      <xdr:colOff>45464</xdr:colOff>
      <xdr:row>8</xdr:row>
      <xdr:rowOff>4482</xdr:rowOff>
    </xdr:to>
    <xdr:sp textlink="">
      <xdr:nvSpPr>
        <xdr:cNvPr id="4" name="テキスト ボックス 3"/>
        <xdr:cNvSpPr txBox="1"/>
      </xdr:nvSpPr>
      <xdr:spPr>
        <a:xfrm>
          <a:off x="10874829" y="2884714"/>
          <a:ext cx="3071692"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定格出力の増加は原則認められません</a:t>
          </a:r>
          <a:endParaRPr lang="en-US" altLang="ja-JP">
            <a:solidFill>
              <a:sysClr val="windowText" lastClr="000000"/>
            </a:solidFill>
          </a:endParaRPr>
        </a:p>
      </xdr:txBody>
    </xdr:sp>
    <xdr:clientData/>
  </xdr:twoCellAnchor>
  <xdr:twoCellAnchor>
    <xdr:from>
      <xdr:col>27</xdr:col>
      <xdr:colOff>217715</xdr:colOff>
      <xdr:row>12</xdr:row>
      <xdr:rowOff>0</xdr:rowOff>
    </xdr:from>
    <xdr:to>
      <xdr:col>35</xdr:col>
      <xdr:colOff>0</xdr:colOff>
      <xdr:row>14</xdr:row>
      <xdr:rowOff>0</xdr:rowOff>
    </xdr:to>
    <xdr:grpSp>
      <xdr:nvGrpSpPr>
        <xdr:cNvPr id="5" name="グループ化 4"/>
        <xdr:cNvGrpSpPr/>
      </xdr:nvGrpSpPr>
      <xdr:grpSpPr>
        <a:xfrm>
          <a:off x="19328675" y="2880360"/>
          <a:ext cx="4979125" cy="457200"/>
          <a:chOff x="11701839" y="2754086"/>
          <a:chExt cx="5266225" cy="457200"/>
        </a:xfrm>
      </xdr:grpSpPr>
      <xdr:sp textlink="">
        <xdr:nvSpPr>
          <xdr:cNvPr id="6" name="テキスト ボックス 5"/>
          <xdr:cNvSpPr txBox="1"/>
        </xdr:nvSpPr>
        <xdr:spPr>
          <a:xfrm>
            <a:off x="11701839" y="2754086"/>
            <a:ext cx="2475058"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textlink="">
        <xdr:nvSpPr>
          <xdr:cNvPr id="7" name="テキスト ボックス 6"/>
          <xdr:cNvSpPr txBox="1"/>
        </xdr:nvSpPr>
        <xdr:spPr>
          <a:xfrm>
            <a:off x="14176897" y="2754086"/>
            <a:ext cx="279116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textlink="">
        <xdr:nvSpPr>
          <xdr:cNvPr id="8" name="テキスト ボックス 7"/>
          <xdr:cNvSpPr txBox="1"/>
        </xdr:nvSpPr>
        <xdr:spPr>
          <a:xfrm>
            <a:off x="11701839" y="2982686"/>
            <a:ext cx="247506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textlink="">
        <xdr:nvSpPr>
          <xdr:cNvPr id="9" name="テキスト ボックス 8"/>
          <xdr:cNvSpPr txBox="1"/>
        </xdr:nvSpPr>
        <xdr:spPr>
          <a:xfrm>
            <a:off x="14176898" y="2982686"/>
            <a:ext cx="279116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13</xdr:col>
      <xdr:colOff>0</xdr:colOff>
      <xdr:row>9</xdr:row>
      <xdr:rowOff>215153</xdr:rowOff>
    </xdr:from>
    <xdr:to>
      <xdr:col>16</xdr:col>
      <xdr:colOff>715895</xdr:colOff>
      <xdr:row>13</xdr:row>
      <xdr:rowOff>0</xdr:rowOff>
    </xdr:to>
    <xdr:grpSp>
      <xdr:nvGrpSpPr>
        <xdr:cNvPr id="20" name="グループ化 19"/>
        <xdr:cNvGrpSpPr/>
      </xdr:nvGrpSpPr>
      <xdr:grpSpPr>
        <a:xfrm>
          <a:off x="8938260" y="2409713"/>
          <a:ext cx="2819015" cy="699247"/>
          <a:chOff x="7808260" y="2447365"/>
          <a:chExt cx="2805953" cy="699247"/>
        </a:xfrm>
      </xdr:grpSpPr>
      <xdr:grpSp>
        <xdr:nvGrpSpPr>
          <xdr:cNvPr id="21" name="グループ化 20"/>
          <xdr:cNvGrpSpPr/>
        </xdr:nvGrpSpPr>
        <xdr:grpSpPr>
          <a:xfrm>
            <a:off x="7808260" y="2447365"/>
            <a:ext cx="2805953" cy="699247"/>
            <a:chOff x="17123227" y="2906486"/>
            <a:chExt cx="2816043" cy="685800"/>
          </a:xfrm>
        </xdr:grpSpPr>
        <xdr:sp textlink="">
          <xdr:nvSpPr>
            <xdr:cNvPr id="23" name="テキスト ボックス 22"/>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24" name="テキスト ボックス 23"/>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25" name="テキスト ボックス 24"/>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22" name="テキスト ボックス 21"/>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76200</xdr:colOff>
      <xdr:row>8</xdr:row>
      <xdr:rowOff>54429</xdr:rowOff>
    </xdr:from>
    <xdr:to>
      <xdr:col>11</xdr:col>
      <xdr:colOff>574382</xdr:colOff>
      <xdr:row>10</xdr:row>
      <xdr:rowOff>2319</xdr:rowOff>
    </xdr:to>
    <xdr:sp textlink="">
      <xdr:nvSpPr>
        <xdr:cNvPr id="26" name="テキスト ボックス 25"/>
        <xdr:cNvSpPr txBox="1"/>
      </xdr:nvSpPr>
      <xdr:spPr>
        <a:xfrm>
          <a:off x="1524000" y="2024743"/>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7</xdr:row>
      <xdr:rowOff>0</xdr:rowOff>
    </xdr:from>
    <xdr:to>
      <xdr:col>21</xdr:col>
      <xdr:colOff>0</xdr:colOff>
      <xdr:row>8</xdr:row>
      <xdr:rowOff>0</xdr:rowOff>
    </xdr:to>
    <xdr:sp textlink="">
      <xdr:nvSpPr>
        <xdr:cNvPr id="4" name="テキスト ボックス 3"/>
        <xdr:cNvSpPr txBox="1"/>
      </xdr:nvSpPr>
      <xdr:spPr>
        <a:xfrm>
          <a:off x="9766300" y="2120900"/>
          <a:ext cx="7378700" cy="2413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容量が更新前後で異なる場合は、その理由を特記事項欄に記載してください。（要根拠資料）</a:t>
          </a:r>
          <a:endParaRPr lang="en-US" altLang="ja-JP" sz="1100">
            <a:solidFill>
              <a:sysClr val="windowText" lastClr="000000"/>
            </a:solidFill>
          </a:endParaRPr>
        </a:p>
      </xdr:txBody>
    </xdr:sp>
    <xdr:clientData/>
  </xdr:twoCellAnchor>
  <xdr:twoCellAnchor>
    <xdr:from>
      <xdr:col>14</xdr:col>
      <xdr:colOff>767123</xdr:colOff>
      <xdr:row>10</xdr:row>
      <xdr:rowOff>0</xdr:rowOff>
    </xdr:from>
    <xdr:to>
      <xdr:col>23</xdr:col>
      <xdr:colOff>0</xdr:colOff>
      <xdr:row>12</xdr:row>
      <xdr:rowOff>0</xdr:rowOff>
    </xdr:to>
    <xdr:grpSp>
      <xdr:nvGrpSpPr>
        <xdr:cNvPr id="6" name="グループ化 5"/>
        <xdr:cNvGrpSpPr/>
      </xdr:nvGrpSpPr>
      <xdr:grpSpPr>
        <a:xfrm>
          <a:off x="12037103" y="2804160"/>
          <a:ext cx="6570937" cy="457200"/>
          <a:chOff x="11843657" y="2754086"/>
          <a:chExt cx="5766209" cy="466165"/>
        </a:xfrm>
      </xdr:grpSpPr>
      <xdr:sp textlink="">
        <xdr:nvSpPr>
          <xdr:cNvPr id="7" name="テキスト ボックス 6"/>
          <xdr:cNvSpPr txBox="1"/>
        </xdr:nvSpPr>
        <xdr:spPr>
          <a:xfrm>
            <a:off x="11843657" y="2754086"/>
            <a:ext cx="270513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(E=(a+b×r2)×t/1000)</a:t>
            </a:r>
            <a:endParaRPr lang="en-US" altLang="ja-JP">
              <a:solidFill>
                <a:sysClr val="windowText" lastClr="000000"/>
              </a:solidFill>
              <a:latin typeface="+mn-ea"/>
              <a:ea typeface="+mn-ea"/>
            </a:endParaRPr>
          </a:p>
        </xdr:txBody>
      </xdr:sp>
      <xdr:sp textlink="">
        <xdr:nvSpPr>
          <xdr:cNvPr id="8" name="テキスト ボックス 7"/>
          <xdr:cNvSpPr txBox="1"/>
        </xdr:nvSpPr>
        <xdr:spPr>
          <a:xfrm>
            <a:off x="14548792" y="2758568"/>
            <a:ext cx="30610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(E'=(a'+b'×r2)×n'×t'/1000)</a:t>
            </a:r>
            <a:endParaRPr lang="en-US" altLang="ja-JP">
              <a:solidFill>
                <a:sysClr val="windowText" lastClr="000000"/>
              </a:solidFill>
              <a:latin typeface="+mn-ea"/>
              <a:ea typeface="+mn-ea"/>
            </a:endParaRPr>
          </a:p>
        </xdr:txBody>
      </xdr:sp>
      <xdr:sp textlink="">
        <xdr:nvSpPr>
          <xdr:cNvPr id="9" name="テキスト ボックス 8"/>
          <xdr:cNvSpPr txBox="1"/>
        </xdr:nvSpPr>
        <xdr:spPr>
          <a:xfrm>
            <a:off x="11843657" y="2987168"/>
            <a:ext cx="2705136"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textlink="">
        <xdr:nvSpPr>
          <xdr:cNvPr id="10" name="テキスト ボックス 9"/>
          <xdr:cNvSpPr txBox="1"/>
        </xdr:nvSpPr>
        <xdr:spPr>
          <a:xfrm>
            <a:off x="14548793" y="2987168"/>
            <a:ext cx="3061073" cy="23308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300210</xdr:colOff>
      <xdr:row>9</xdr:row>
      <xdr:rowOff>1</xdr:rowOff>
    </xdr:from>
    <xdr:to>
      <xdr:col>14</xdr:col>
      <xdr:colOff>381000</xdr:colOff>
      <xdr:row>12</xdr:row>
      <xdr:rowOff>1</xdr:rowOff>
    </xdr:to>
    <xdr:grpSp>
      <xdr:nvGrpSpPr>
        <xdr:cNvPr id="19" name="グループ化 18"/>
        <xdr:cNvGrpSpPr/>
      </xdr:nvGrpSpPr>
      <xdr:grpSpPr>
        <a:xfrm>
          <a:off x="8849850" y="2583181"/>
          <a:ext cx="2801130" cy="678180"/>
          <a:chOff x="7808260" y="2447365"/>
          <a:chExt cx="2805953" cy="699247"/>
        </a:xfrm>
      </xdr:grpSpPr>
      <xdr:grpSp>
        <xdr:nvGrpSpPr>
          <xdr:cNvPr id="20" name="グループ化 19"/>
          <xdr:cNvGrpSpPr/>
        </xdr:nvGrpSpPr>
        <xdr:grpSpPr>
          <a:xfrm>
            <a:off x="7808260" y="2447365"/>
            <a:ext cx="2805953" cy="699247"/>
            <a:chOff x="17123227" y="2906486"/>
            <a:chExt cx="2816043" cy="685800"/>
          </a:xfrm>
        </xdr:grpSpPr>
        <xdr:sp textlink="">
          <xdr:nvSpPr>
            <xdr:cNvPr id="22" name="テキスト ボックス 21"/>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textlink="">
          <xdr:nvSpPr>
            <xdr:cNvPr id="23" name="テキスト ボックス 22"/>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textlink="">
          <xdr:nvSpPr>
            <xdr:cNvPr id="24" name="テキスト ボックス 23"/>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textlink="">
        <xdr:nvSpPr>
          <xdr:cNvPr id="21" name="テキスト ボックス 20"/>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507254</xdr:colOff>
      <xdr:row>8</xdr:row>
      <xdr:rowOff>15688</xdr:rowOff>
    </xdr:from>
    <xdr:to>
      <xdr:col>11</xdr:col>
      <xdr:colOff>10460</xdr:colOff>
      <xdr:row>9</xdr:row>
      <xdr:rowOff>177800</xdr:rowOff>
    </xdr:to>
    <xdr:sp textlink="">
      <xdr:nvSpPr>
        <xdr:cNvPr id="25" name="テキスト ボックス 24"/>
        <xdr:cNvSpPr txBox="1"/>
      </xdr:nvSpPr>
      <xdr:spPr>
        <a:xfrm>
          <a:off x="1815354" y="2377888"/>
          <a:ext cx="6780306" cy="40341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tabSelected="1" view="pageBreakPreview" zoomScaleNormal="100" zoomScaleSheetLayoutView="100" workbookViewId="0">
      <selection activeCell="D6" sqref="D6"/>
    </sheetView>
  </sheetViews>
  <sheetFormatPr defaultRowHeight="18" x14ac:dyDescent="0.55000000000000004"/>
  <cols>
    <col min="1" max="1" width="4.83203125" customWidth="1"/>
    <col min="2" max="2" width="5.83203125" customWidth="1"/>
    <col min="3" max="3" width="17" customWidth="1"/>
    <col min="4" max="11" width="10.83203125" customWidth="1"/>
    <col min="12" max="12" width="12.6640625" customWidth="1"/>
    <col min="13" max="17" width="10.83203125" customWidth="1"/>
    <col min="18" max="18" width="14.33203125" bestFit="1" customWidth="1"/>
  </cols>
  <sheetData>
    <row r="1" spans="1:17" ht="29" x14ac:dyDescent="0.85">
      <c r="A1" s="1" t="s">
        <v>0</v>
      </c>
      <c r="G1" s="74"/>
    </row>
    <row r="2" spans="1:17" x14ac:dyDescent="0.55000000000000004">
      <c r="G2" s="296"/>
      <c r="H2" s="292"/>
      <c r="I2" s="292"/>
      <c r="J2" s="297"/>
      <c r="K2" s="292"/>
    </row>
    <row r="3" spans="1:17" x14ac:dyDescent="0.55000000000000004">
      <c r="A3">
        <v>1</v>
      </c>
      <c r="B3" t="s">
        <v>1</v>
      </c>
    </row>
    <row r="4" spans="1:17" x14ac:dyDescent="0.55000000000000004">
      <c r="C4" s="629" t="s">
        <v>1036</v>
      </c>
      <c r="D4" s="629"/>
      <c r="E4" s="629"/>
      <c r="F4" s="631" t="s">
        <v>1089</v>
      </c>
      <c r="G4" s="620" t="s">
        <v>1037</v>
      </c>
      <c r="H4" s="621"/>
      <c r="I4" s="630" t="s">
        <v>1038</v>
      </c>
      <c r="J4" s="630"/>
      <c r="K4" s="630"/>
      <c r="L4" s="630"/>
      <c r="M4" s="630"/>
      <c r="N4" s="630"/>
    </row>
    <row r="5" spans="1:17" x14ac:dyDescent="0.55000000000000004">
      <c r="C5" s="530" t="s">
        <v>449</v>
      </c>
      <c r="D5" s="564" t="s">
        <v>2</v>
      </c>
      <c r="E5" s="565"/>
      <c r="F5" s="632"/>
      <c r="G5" s="564" t="s">
        <v>3</v>
      </c>
      <c r="H5" s="565"/>
      <c r="I5" s="566" t="s">
        <v>448</v>
      </c>
      <c r="J5" s="168"/>
      <c r="K5" s="168" t="s">
        <v>4</v>
      </c>
      <c r="L5" s="168"/>
      <c r="M5" s="168" t="s">
        <v>5</v>
      </c>
      <c r="N5" s="168"/>
      <c r="P5" s="3" t="s">
        <v>10</v>
      </c>
      <c r="Q5" s="3"/>
    </row>
    <row r="6" spans="1:17" x14ac:dyDescent="0.55000000000000004">
      <c r="C6" s="619" t="s">
        <v>6</v>
      </c>
      <c r="D6" s="5"/>
      <c r="E6" s="3" t="s">
        <v>7</v>
      </c>
      <c r="F6" s="623" t="str">
        <f>IF(D20&lt;&gt;0,IF(D6&gt;=D20,"使用量≧算定","算定＞使用量"),"ー")</f>
        <v>ー</v>
      </c>
      <c r="G6" s="5"/>
      <c r="H6" s="3" t="s">
        <v>8</v>
      </c>
      <c r="I6" s="87">
        <f>IF(OR(D6=0,G6=0),0,G6/D6)</f>
        <v>0</v>
      </c>
      <c r="J6" s="3" t="str">
        <f>"円／"&amp;E6</f>
        <v>円／kWh</v>
      </c>
      <c r="K6" s="118">
        <f>D6*M6</f>
        <v>0</v>
      </c>
      <c r="L6" s="3" t="s">
        <v>9</v>
      </c>
      <c r="M6" s="77">
        <f>VLOOKUP(C6,係数!$B$2:$I$30,7,FALSE)</f>
        <v>4.57E-4</v>
      </c>
      <c r="N6" s="3" t="str">
        <f>VLOOKUP(C6,係数!$B$2:$I$30,8,FALSE)</f>
        <v>tCO2/kWh</v>
      </c>
      <c r="P6" s="6"/>
      <c r="Q6" s="3" t="s">
        <v>13</v>
      </c>
    </row>
    <row r="7" spans="1:17" x14ac:dyDescent="0.55000000000000004">
      <c r="C7" s="619" t="s">
        <v>11</v>
      </c>
      <c r="D7" s="5"/>
      <c r="E7" s="3" t="s">
        <v>12</v>
      </c>
      <c r="F7" s="623" t="str">
        <f>IF(D21&lt;&gt;0,IF(D7&gt;=D21,"使用量≧算定","算定＞使用量"),"ー")</f>
        <v>ー</v>
      </c>
      <c r="G7" s="5"/>
      <c r="H7" s="3" t="s">
        <v>455</v>
      </c>
      <c r="I7" s="87">
        <f>IF(OR(D7=0,G7=0),0,G7/D7)</f>
        <v>0</v>
      </c>
      <c r="J7" s="3" t="str">
        <f>"円／"&amp;E7</f>
        <v>円／㎥</v>
      </c>
      <c r="K7" s="118">
        <f>D7*M7</f>
        <v>0</v>
      </c>
      <c r="L7" s="3" t="s">
        <v>9</v>
      </c>
      <c r="M7" s="77">
        <f>VLOOKUP(C7,係数!$B$2:$I$30,7,FALSE)</f>
        <v>2.2440000000000003E-3</v>
      </c>
      <c r="N7" s="3" t="str">
        <f>VLOOKUP(C7,係数!$B$2:$I$30,8,FALSE)</f>
        <v>tCO2/㎥</v>
      </c>
      <c r="P7" s="286">
        <f>P6/0.458</f>
        <v>0</v>
      </c>
      <c r="Q7" s="3" t="s">
        <v>15</v>
      </c>
    </row>
    <row r="8" spans="1:17" x14ac:dyDescent="0.55000000000000004">
      <c r="C8" s="619" t="s">
        <v>14</v>
      </c>
      <c r="D8" s="5"/>
      <c r="E8" s="8" t="str">
        <f>IF(C8="","",VLOOKUP(C8,係数!$B$2:$I$30,4,FALSE))</f>
        <v>kg</v>
      </c>
      <c r="F8" s="624" t="str">
        <f>IF(D22&lt;&gt;0,IF(D8&gt;=D22,"使用量≧算定","算定＞使用量"),"ー")</f>
        <v>ー</v>
      </c>
      <c r="G8" s="5"/>
      <c r="H8" s="3" t="s">
        <v>455</v>
      </c>
      <c r="I8" s="87">
        <f>IF(OR(D8=0,G8=0),0,G8/D8)</f>
        <v>0</v>
      </c>
      <c r="J8" s="3" t="str">
        <f>"円／"&amp;E8</f>
        <v>円／kg</v>
      </c>
      <c r="K8" s="118">
        <f>D8*M8</f>
        <v>0</v>
      </c>
      <c r="L8" s="3" t="s">
        <v>9</v>
      </c>
      <c r="M8" s="77">
        <f>VLOOKUP(C8,係数!$B$2:$I$30,7,FALSE)</f>
        <v>2.998893333333333E-3</v>
      </c>
      <c r="N8" s="3" t="str">
        <f>VLOOKUP(C8,係数!$B$2:$I$30,8,FALSE)</f>
        <v>tCO2/kg</v>
      </c>
    </row>
    <row r="9" spans="1:17" x14ac:dyDescent="0.55000000000000004">
      <c r="B9" s="9" t="s">
        <v>447</v>
      </c>
      <c r="C9" s="10"/>
      <c r="D9" s="5"/>
      <c r="E9" s="36" t="str">
        <f>IF(C9="","",VLOOKUP(C9,係数!$B$2:$I$30,4,FALSE))</f>
        <v/>
      </c>
      <c r="F9" s="622"/>
      <c r="G9" s="5"/>
      <c r="H9" s="3" t="s">
        <v>455</v>
      </c>
      <c r="I9" s="87">
        <f>IF(OR(D9=0,G9=0),0,G9/D9)</f>
        <v>0</v>
      </c>
      <c r="J9" s="3" t="str">
        <f>"円／"&amp;E9</f>
        <v>円／</v>
      </c>
      <c r="K9" s="118">
        <f>IF(D9="",0,D9*M9)</f>
        <v>0</v>
      </c>
      <c r="L9" s="3" t="s">
        <v>9</v>
      </c>
      <c r="M9" s="77" t="str">
        <f>IF(C9="","",VLOOKUP(C9,係数!$B$2:$I$30,7,FALSE))</f>
        <v/>
      </c>
      <c r="N9" s="3" t="str">
        <f>IF(C9="","",VLOOKUP(C9,係数!$B$2:$I$30,8,FALSE))</f>
        <v/>
      </c>
    </row>
    <row r="10" spans="1:17" x14ac:dyDescent="0.55000000000000004">
      <c r="B10" s="9" t="s">
        <v>446</v>
      </c>
      <c r="C10" s="10"/>
      <c r="D10" s="5"/>
      <c r="E10" s="36" t="str">
        <f>IF(C10="","",VLOOKUP(C10,係数!$B$2:$I$30,4,FALSE))</f>
        <v/>
      </c>
      <c r="F10" s="622"/>
      <c r="G10" s="5"/>
      <c r="H10" s="3" t="s">
        <v>455</v>
      </c>
      <c r="I10" s="87">
        <f>IF(OR(D10=0,G10=0),0,G10/D10)</f>
        <v>0</v>
      </c>
      <c r="J10" s="3" t="str">
        <f>"円／"&amp;E10</f>
        <v>円／</v>
      </c>
      <c r="K10" s="118">
        <f>IF(D10="",0,D10*M10)</f>
        <v>0</v>
      </c>
      <c r="L10" s="3" t="s">
        <v>9</v>
      </c>
      <c r="M10" s="77" t="str">
        <f>IF(C10="","",VLOOKUP(C10,係数!$B$2:$I$30,7,FALSE))</f>
        <v/>
      </c>
      <c r="N10" s="3" t="str">
        <f>IF(C10="","",VLOOKUP(C10,係数!$B$2:$I$30,8,FALSE))</f>
        <v/>
      </c>
    </row>
    <row r="11" spans="1:17" x14ac:dyDescent="0.55000000000000004">
      <c r="C11" s="11"/>
      <c r="D11" s="11"/>
      <c r="E11" s="3" t="s">
        <v>18</v>
      </c>
      <c r="F11" s="104"/>
      <c r="G11" s="12">
        <f>SUM(G6:G10)</f>
        <v>0</v>
      </c>
      <c r="H11" s="3" t="s">
        <v>8</v>
      </c>
      <c r="I11" s="11"/>
      <c r="J11" s="3" t="s">
        <v>18</v>
      </c>
      <c r="K11" s="118">
        <f>SUM(K6:K10)</f>
        <v>0</v>
      </c>
      <c r="L11" s="3" t="s">
        <v>9</v>
      </c>
      <c r="M11" s="11"/>
      <c r="N11" s="11"/>
    </row>
    <row r="18" spans="1:13" ht="26.5" x14ac:dyDescent="0.8">
      <c r="A18" s="594" t="s">
        <v>1078</v>
      </c>
    </row>
    <row r="19" spans="1:13" x14ac:dyDescent="0.55000000000000004">
      <c r="A19" s="595"/>
      <c r="C19" s="574" t="s">
        <v>449</v>
      </c>
      <c r="D19" s="564" t="s">
        <v>2</v>
      </c>
      <c r="E19" s="596"/>
      <c r="F19" s="599" t="s">
        <v>1081</v>
      </c>
      <c r="G19" s="599" t="s">
        <v>1082</v>
      </c>
      <c r="H19" s="598" t="s">
        <v>1083</v>
      </c>
      <c r="I19" s="599" t="s">
        <v>1084</v>
      </c>
      <c r="J19" s="599" t="s">
        <v>1085</v>
      </c>
      <c r="K19" s="599" t="s">
        <v>1086</v>
      </c>
      <c r="L19" s="599" t="s">
        <v>1088</v>
      </c>
      <c r="M19" s="599" t="s">
        <v>1087</v>
      </c>
    </row>
    <row r="20" spans="1:13" x14ac:dyDescent="0.55000000000000004">
      <c r="C20" s="4" t="s">
        <v>6</v>
      </c>
      <c r="D20" s="597">
        <f>SUM(F20:M20)</f>
        <v>0</v>
      </c>
      <c r="E20" s="8" t="s">
        <v>499</v>
      </c>
      <c r="F20" s="600">
        <f>照明!$K$17</f>
        <v>0</v>
      </c>
      <c r="G20" s="601">
        <f>'空調（電気）'!$Q$19</f>
        <v>0</v>
      </c>
      <c r="H20" s="602">
        <f>'空調（電気） (APF)'!$Q$19</f>
        <v>0</v>
      </c>
      <c r="I20" s="601">
        <f>'空調（GHP)'!$S$22</f>
        <v>0</v>
      </c>
      <c r="J20" s="603">
        <f>'空調（GHP)（APF）'!$S$22</f>
        <v>0</v>
      </c>
      <c r="K20" s="601">
        <f>SUMIF(ボイラー・給湯器!$G$20:$G$34,"電気",ボイラー・給湯器!$U$20:$U$34)</f>
        <v>0</v>
      </c>
      <c r="L20" s="601">
        <f>コンプレッサー!$Q$19</f>
        <v>0</v>
      </c>
      <c r="M20" s="601">
        <f>変圧器!$J$17</f>
        <v>0</v>
      </c>
    </row>
    <row r="21" spans="1:13" x14ac:dyDescent="0.55000000000000004">
      <c r="C21" s="4" t="s">
        <v>11</v>
      </c>
      <c r="D21" s="597">
        <f>SUM(I21:K21)</f>
        <v>0</v>
      </c>
      <c r="E21" s="8" t="s">
        <v>1079</v>
      </c>
      <c r="F21" s="604"/>
      <c r="G21" s="605"/>
      <c r="H21" s="606"/>
      <c r="I21" s="601">
        <f>IF('空調（GHP)'!$D$10=$C$21,'空調（GHP)'!$T$22,0)</f>
        <v>0</v>
      </c>
      <c r="J21" s="603">
        <f>IF('空調（GHP)（APF）'!$D$10=$C$21,'空調（GHP)（APF）'!$T$22,0)</f>
        <v>0</v>
      </c>
      <c r="K21" s="601">
        <f>SUMIF(ボイラー・給湯器!$G$20:$G$34,$C$21,ボイラー・給湯器!$U$20:$U$34)</f>
        <v>0</v>
      </c>
      <c r="L21" s="605"/>
      <c r="M21" s="605"/>
    </row>
    <row r="22" spans="1:13" x14ac:dyDescent="0.55000000000000004">
      <c r="C22" s="7" t="s">
        <v>14</v>
      </c>
      <c r="D22" s="597">
        <f>SUM(I22:K22)</f>
        <v>0</v>
      </c>
      <c r="E22" s="8" t="s">
        <v>1080</v>
      </c>
      <c r="F22" s="604"/>
      <c r="G22" s="605"/>
      <c r="H22" s="606"/>
      <c r="I22" s="601">
        <f>IF('空調（GHP)'!$D$10=$C$22,'空調（GHP)'!$T$22,0)</f>
        <v>0</v>
      </c>
      <c r="J22" s="603">
        <f>IF('空調（GHP)（APF）'!$D$10=$C$22,'空調（GHP)（APF）'!$T$22,0)</f>
        <v>0</v>
      </c>
      <c r="K22" s="601">
        <f>SUMIF(ボイラー・給湯器!$G$20:$G$34,$C$22,ボイラー・給湯器!$U$20:$U$34)</f>
        <v>0</v>
      </c>
      <c r="L22" s="605"/>
      <c r="M22" s="605"/>
    </row>
  </sheetData>
  <sheetProtection password="CC4B" sheet="1" formatCells="0" formatColumns="0" formatRows="0"/>
  <mergeCells count="3">
    <mergeCell ref="C4:E4"/>
    <mergeCell ref="I4:N4"/>
    <mergeCell ref="F4:F5"/>
  </mergeCells>
  <phoneticPr fontId="5"/>
  <conditionalFormatting sqref="G2">
    <cfRule type="expression" dxfId="86" priority="21">
      <formula>#REF!="把握していない"</formula>
    </cfRule>
  </conditionalFormatting>
  <conditionalFormatting sqref="F6:F8">
    <cfRule type="cellIs" dxfId="85" priority="1" operator="equal">
      <formula>"診断＞使用量"</formula>
    </cfRule>
  </conditionalFormatting>
  <pageMargins left="0.70866141732283472" right="0.70866141732283472" top="0.74803149606299213" bottom="0.74803149606299213" header="0.31496062992125984" footer="0.31496062992125984"/>
  <pageSetup paperSize="9" scale="5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係数!$B$3:$B$30</xm:f>
          </x14:formula1>
          <xm:sqref>C8:C10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view="pageBreakPreview" zoomScale="70" zoomScaleNormal="70" zoomScaleSheetLayoutView="70" workbookViewId="0">
      <selection activeCell="X10" sqref="X10"/>
    </sheetView>
  </sheetViews>
  <sheetFormatPr defaultColWidth="8.83203125" defaultRowHeight="18" x14ac:dyDescent="0.55000000000000004"/>
  <cols>
    <col min="1" max="1" width="10.5" style="27" customWidth="1"/>
    <col min="2" max="2" width="9.58203125" style="27" customWidth="1"/>
    <col min="3" max="8" width="10.4140625" style="27" customWidth="1"/>
    <col min="9" max="9" width="13.9140625" style="27" customWidth="1"/>
    <col min="10" max="12" width="10.4140625" style="27" customWidth="1"/>
    <col min="13" max="13" width="12.83203125" style="27" customWidth="1"/>
    <col min="14" max="25" width="10.4140625" style="27" customWidth="1"/>
    <col min="26" max="26" width="8.83203125" style="27"/>
    <col min="27" max="27" width="10.1640625" style="27" bestFit="1" customWidth="1"/>
    <col min="28" max="16384" width="8.83203125" style="27"/>
  </cols>
  <sheetData>
    <row r="1" spans="1:27" ht="29" x14ac:dyDescent="0.85">
      <c r="A1" s="26" t="s">
        <v>182</v>
      </c>
      <c r="F1" s="292"/>
      <c r="G1" s="285"/>
      <c r="H1" s="292"/>
      <c r="I1" s="296"/>
      <c r="J1" s="292"/>
      <c r="K1" s="292"/>
      <c r="L1" s="297"/>
      <c r="M1" s="292"/>
    </row>
    <row r="2" spans="1:27" x14ac:dyDescent="0.55000000000000004">
      <c r="A2" s="27" t="s">
        <v>183</v>
      </c>
    </row>
    <row r="3" spans="1:27" x14ac:dyDescent="0.55000000000000004">
      <c r="D3" s="680" t="s">
        <v>22</v>
      </c>
      <c r="E3" s="681"/>
      <c r="F3" s="167" t="s">
        <v>23</v>
      </c>
      <c r="G3" s="443" t="s">
        <v>24</v>
      </c>
      <c r="H3" s="443" t="s">
        <v>25</v>
      </c>
      <c r="I3" s="443" t="s">
        <v>26</v>
      </c>
      <c r="J3" s="180" t="s">
        <v>27</v>
      </c>
      <c r="M3" s="635" t="s">
        <v>495</v>
      </c>
      <c r="N3" s="636"/>
      <c r="O3" s="636"/>
      <c r="P3" s="636"/>
      <c r="Q3" s="636"/>
      <c r="R3" s="636"/>
      <c r="S3" s="636"/>
      <c r="T3" s="636"/>
      <c r="U3" s="637"/>
    </row>
    <row r="4" spans="1:27" x14ac:dyDescent="0.55000000000000004">
      <c r="D4" s="682" t="s">
        <v>103</v>
      </c>
      <c r="E4" s="683"/>
      <c r="F4" s="441" t="s">
        <v>21</v>
      </c>
      <c r="G4" s="18">
        <f>K18</f>
        <v>0</v>
      </c>
      <c r="H4" s="18">
        <f>V18</f>
        <v>0</v>
      </c>
      <c r="I4" s="42">
        <f>G4-H4</f>
        <v>0</v>
      </c>
      <c r="J4" s="22">
        <f>IF(OR(G4=0,I4=0),0,I4/G4)</f>
        <v>0</v>
      </c>
      <c r="M4" s="730"/>
      <c r="N4" s="731"/>
      <c r="O4" s="731"/>
      <c r="P4" s="731"/>
      <c r="Q4" s="731"/>
      <c r="R4" s="731"/>
      <c r="S4" s="731"/>
      <c r="T4" s="731"/>
      <c r="U4" s="732"/>
    </row>
    <row r="5" spans="1:27" x14ac:dyDescent="0.55000000000000004">
      <c r="D5" s="684" t="s">
        <v>184</v>
      </c>
      <c r="E5" s="685"/>
      <c r="F5" s="213" t="str">
        <f>$G$10&amp;"/年"</f>
        <v>/年</v>
      </c>
      <c r="G5" s="18">
        <f>L18</f>
        <v>0</v>
      </c>
      <c r="H5" s="18">
        <f>W18</f>
        <v>0</v>
      </c>
      <c r="I5" s="42">
        <f>G5-H5</f>
        <v>0</v>
      </c>
      <c r="J5" s="22">
        <f>IF(OR(G5=0,I5=0),0,I5/G5)</f>
        <v>0</v>
      </c>
      <c r="M5" s="462" t="s">
        <v>264</v>
      </c>
    </row>
    <row r="6" spans="1:27" x14ac:dyDescent="0.55000000000000004">
      <c r="D6" s="682" t="s">
        <v>104</v>
      </c>
      <c r="E6" s="683"/>
      <c r="F6" s="195" t="s">
        <v>9</v>
      </c>
      <c r="G6" s="102">
        <f>M18</f>
        <v>0</v>
      </c>
      <c r="H6" s="102">
        <f>X18</f>
        <v>0</v>
      </c>
      <c r="I6" s="332">
        <f>G6-H6</f>
        <v>0</v>
      </c>
      <c r="J6" s="22">
        <f>IF(OR(G6=0,I6=0),0,I6/G6)</f>
        <v>0</v>
      </c>
    </row>
    <row r="7" spans="1:27" x14ac:dyDescent="0.55000000000000004">
      <c r="D7" s="682" t="s">
        <v>3</v>
      </c>
      <c r="E7" s="683"/>
      <c r="F7" s="444" t="s">
        <v>30</v>
      </c>
      <c r="G7" s="312" t="str">
        <f>IF(AND(使用量と光熱費!$I$6=0,$H$10=""),"ー",G4*使用量と光熱費!$I$6+G5*$H$10)</f>
        <v>ー</v>
      </c>
      <c r="H7" s="312" t="str">
        <f>IF(AND(使用量と光熱費!$I$6=0,$H$10=""),"ー",H4*使用量と光熱費!$I$6+H5*$H$10)</f>
        <v>ー</v>
      </c>
      <c r="I7" s="313" t="str">
        <f>IF(OR(G7="ー",H7="ー"),"ー",G7-H7)</f>
        <v>ー</v>
      </c>
      <c r="J7" s="294" t="str">
        <f>IF(OR(G7="ー",I7="ー"),"ー",I7/G7)</f>
        <v>ー</v>
      </c>
    </row>
    <row r="8" spans="1:27" x14ac:dyDescent="0.55000000000000004">
      <c r="D8" s="641" t="s">
        <v>31</v>
      </c>
      <c r="E8" s="642"/>
      <c r="F8" s="441" t="s">
        <v>32</v>
      </c>
      <c r="G8" s="467">
        <f>IF(OR(G4=0,G5=0,$I$10=""),0,(G4*係数!$C$30+G5*$I$10)*0.0000258)</f>
        <v>0</v>
      </c>
      <c r="H8" s="467">
        <f>IF(OR(H4=0,H5=0,$I$10=""),0,(H4*係数!$C$30+H5*$I$10)*0.0000258)</f>
        <v>0</v>
      </c>
      <c r="I8" s="468">
        <f>G8-H8</f>
        <v>0</v>
      </c>
      <c r="J8" s="22">
        <f>IF(OR(G8=0,I8=0),0,I8/G8)</f>
        <v>0</v>
      </c>
    </row>
    <row r="9" spans="1:27" x14ac:dyDescent="0.55000000000000004">
      <c r="D9" s="197" t="s">
        <v>133</v>
      </c>
      <c r="E9" s="442" t="s">
        <v>135</v>
      </c>
      <c r="F9" s="214"/>
      <c r="G9" s="194" t="s">
        <v>149</v>
      </c>
      <c r="H9" s="194" t="s">
        <v>137</v>
      </c>
      <c r="I9" s="194" t="s">
        <v>150</v>
      </c>
    </row>
    <row r="10" spans="1:27" x14ac:dyDescent="0.55000000000000004">
      <c r="D10" s="38"/>
      <c r="E10" s="24" t="str">
        <f>IF(D10="","",VLOOKUP(D10,係数!$B$3:$I$30,7,FALSE))</f>
        <v/>
      </c>
      <c r="F10" s="24" t="str">
        <f>IF(D10="","",VLOOKUP(D10,係数!$B$3:$I$30,8,FALSE))</f>
        <v/>
      </c>
      <c r="G10" s="24" t="str">
        <f>IF(D10="","",VLOOKUP(D10,係数!$B$3:$I$30,4,FALSE))</f>
        <v/>
      </c>
      <c r="H10" s="24" t="str">
        <f>IF(OR(D10="",使用量と光熱費!$C$6:$I$10=0),"",VLOOKUP(D10,使用量と光熱費!$C$6:$I$10,6,FALSE))</f>
        <v/>
      </c>
      <c r="I10" s="24" t="str">
        <f>IF(D10="","",VLOOKUP(D10,係数!$B$3:$I$30,2,FALSE))</f>
        <v/>
      </c>
    </row>
    <row r="11" spans="1:27" x14ac:dyDescent="0.55000000000000004">
      <c r="A11" s="43"/>
    </row>
    <row r="12" spans="1:27" x14ac:dyDescent="0.55000000000000004">
      <c r="A12" s="27" t="s">
        <v>33</v>
      </c>
    </row>
    <row r="14" spans="1:27" x14ac:dyDescent="0.55000000000000004">
      <c r="B14" s="194"/>
      <c r="C14" s="225" t="s">
        <v>24</v>
      </c>
      <c r="D14" s="231"/>
      <c r="E14" s="288"/>
      <c r="F14" s="288"/>
      <c r="G14" s="288"/>
      <c r="H14" s="288"/>
      <c r="I14" s="288"/>
      <c r="J14" s="288"/>
      <c r="K14" s="288"/>
      <c r="L14" s="214"/>
      <c r="M14" s="225" t="s">
        <v>25</v>
      </c>
      <c r="N14" s="231"/>
      <c r="O14" s="231"/>
      <c r="P14" s="231"/>
      <c r="Q14" s="288"/>
      <c r="R14" s="288"/>
      <c r="S14" s="288"/>
      <c r="T14" s="288"/>
      <c r="U14" s="288"/>
      <c r="V14" s="288"/>
      <c r="W14" s="288"/>
      <c r="X14" s="214"/>
      <c r="Y14" s="289" t="s">
        <v>34</v>
      </c>
      <c r="Z14" s="288"/>
      <c r="AA14" s="214"/>
    </row>
    <row r="15" spans="1:27" ht="36" x14ac:dyDescent="0.55000000000000004">
      <c r="B15" s="461" t="s">
        <v>22</v>
      </c>
      <c r="C15" s="471" t="s">
        <v>35</v>
      </c>
      <c r="D15" s="197" t="s">
        <v>153</v>
      </c>
      <c r="E15" s="472" t="s">
        <v>36</v>
      </c>
      <c r="F15" s="472" t="s">
        <v>155</v>
      </c>
      <c r="G15" s="472" t="s">
        <v>37</v>
      </c>
      <c r="H15" s="472" t="s">
        <v>897</v>
      </c>
      <c r="I15" s="472" t="s">
        <v>42</v>
      </c>
      <c r="J15" s="472" t="s">
        <v>898</v>
      </c>
      <c r="K15" s="472" t="s">
        <v>38</v>
      </c>
      <c r="L15" s="472" t="s">
        <v>157</v>
      </c>
      <c r="M15" s="472" t="s">
        <v>158</v>
      </c>
      <c r="N15" s="471" t="s">
        <v>35</v>
      </c>
      <c r="O15" s="197" t="s">
        <v>153</v>
      </c>
      <c r="P15" s="472" t="s">
        <v>40</v>
      </c>
      <c r="Q15" s="472" t="s">
        <v>160</v>
      </c>
      <c r="R15" s="472" t="s">
        <v>41</v>
      </c>
      <c r="S15" s="472" t="s">
        <v>897</v>
      </c>
      <c r="T15" s="472" t="s">
        <v>42</v>
      </c>
      <c r="U15" s="472" t="s">
        <v>899</v>
      </c>
      <c r="V15" s="472" t="s">
        <v>43</v>
      </c>
      <c r="W15" s="472" t="s">
        <v>161</v>
      </c>
      <c r="X15" s="472" t="s">
        <v>44</v>
      </c>
      <c r="Y15" s="472" t="s">
        <v>45</v>
      </c>
      <c r="Z15" s="472" t="s">
        <v>145</v>
      </c>
      <c r="AA15" s="472" t="s">
        <v>162</v>
      </c>
    </row>
    <row r="16" spans="1:27" x14ac:dyDescent="0.55000000000000004">
      <c r="B16" s="194" t="s">
        <v>23</v>
      </c>
      <c r="C16" s="194"/>
      <c r="D16" s="441"/>
      <c r="E16" s="441" t="s">
        <v>124</v>
      </c>
      <c r="F16" s="227" t="str">
        <f>$G$10&amp;"/(台・h)"</f>
        <v>/(台・h)</v>
      </c>
      <c r="G16" s="441" t="s">
        <v>48</v>
      </c>
      <c r="H16" s="441" t="s">
        <v>49</v>
      </c>
      <c r="I16" s="441" t="s">
        <v>50</v>
      </c>
      <c r="J16" s="441" t="s">
        <v>51</v>
      </c>
      <c r="K16" s="441" t="s">
        <v>21</v>
      </c>
      <c r="L16" s="213" t="str">
        <f>$G$10&amp;"/年"</f>
        <v>/年</v>
      </c>
      <c r="M16" s="195" t="s">
        <v>9</v>
      </c>
      <c r="N16" s="195"/>
      <c r="O16" s="441"/>
      <c r="P16" s="441" t="s">
        <v>124</v>
      </c>
      <c r="Q16" s="227" t="str">
        <f>$G$10&amp;"/(台・h)"</f>
        <v>/(台・h)</v>
      </c>
      <c r="R16" s="441" t="s">
        <v>48</v>
      </c>
      <c r="S16" s="441" t="s">
        <v>49</v>
      </c>
      <c r="T16" s="441" t="s">
        <v>50</v>
      </c>
      <c r="U16" s="441" t="s">
        <v>51</v>
      </c>
      <c r="V16" s="441" t="s">
        <v>21</v>
      </c>
      <c r="W16" s="213" t="str">
        <f>$G$10&amp;"/年"</f>
        <v>/年</v>
      </c>
      <c r="X16" s="195" t="s">
        <v>9</v>
      </c>
      <c r="Y16" s="441" t="s">
        <v>21</v>
      </c>
      <c r="Z16" s="213" t="str">
        <f>$G$10&amp;"/年"</f>
        <v>/年</v>
      </c>
      <c r="AA16" s="195" t="s">
        <v>9</v>
      </c>
    </row>
    <row r="17" spans="2:27" x14ac:dyDescent="0.55000000000000004">
      <c r="B17" s="341" t="s">
        <v>266</v>
      </c>
      <c r="C17" s="341"/>
      <c r="D17" s="342"/>
      <c r="E17" s="343">
        <v>0.2</v>
      </c>
      <c r="F17" s="343">
        <v>0.3</v>
      </c>
      <c r="G17" s="343">
        <v>6</v>
      </c>
      <c r="H17" s="343">
        <v>10</v>
      </c>
      <c r="I17" s="343">
        <v>150</v>
      </c>
      <c r="J17" s="344">
        <f>H17*I17</f>
        <v>1500</v>
      </c>
      <c r="K17" s="344">
        <f>E17*G17*J17</f>
        <v>1800.0000000000002</v>
      </c>
      <c r="L17" s="344">
        <f>F17*G17*J17</f>
        <v>2699.9999999999995</v>
      </c>
      <c r="M17" s="345">
        <f>K17*係数!$H$30+L17*0.0024895</f>
        <v>7.544249999999999</v>
      </c>
      <c r="N17" s="346"/>
      <c r="O17" s="342"/>
      <c r="P17" s="343">
        <v>0.1</v>
      </c>
      <c r="Q17" s="343">
        <v>0.2</v>
      </c>
      <c r="R17" s="347">
        <v>5</v>
      </c>
      <c r="S17" s="343">
        <v>12</v>
      </c>
      <c r="T17" s="343">
        <v>100</v>
      </c>
      <c r="U17" s="344">
        <f>S17*T17</f>
        <v>1200</v>
      </c>
      <c r="V17" s="344">
        <f>P17*R17*U17</f>
        <v>600</v>
      </c>
      <c r="W17" s="344">
        <f>Q17*R17*U17</f>
        <v>1200</v>
      </c>
      <c r="X17" s="345">
        <f>V17*係数!$H$30+W17*0.0024895</f>
        <v>3.2616000000000001</v>
      </c>
      <c r="Y17" s="344">
        <f>K17-V17</f>
        <v>1200.0000000000002</v>
      </c>
      <c r="Z17" s="344">
        <f>L17-W17</f>
        <v>1499.9999999999995</v>
      </c>
      <c r="AA17" s="348">
        <f>IF(OR(M17="",X17=""),0,M17-X17)</f>
        <v>4.2826499999999985</v>
      </c>
    </row>
    <row r="18" spans="2:27" x14ac:dyDescent="0.55000000000000004">
      <c r="B18" s="445" t="s">
        <v>18</v>
      </c>
      <c r="C18" s="24"/>
      <c r="D18" s="35">
        <f>SUM(D19:D38)</f>
        <v>0</v>
      </c>
      <c r="E18" s="29"/>
      <c r="G18" s="35">
        <f>SUM(G19:G38)</f>
        <v>0</v>
      </c>
      <c r="H18" s="29"/>
      <c r="I18" s="29"/>
      <c r="J18" s="97">
        <f>SUM(J19:J38)</f>
        <v>0</v>
      </c>
      <c r="K18" s="97">
        <f>SUM(K19:K38)</f>
        <v>0</v>
      </c>
      <c r="L18" s="97">
        <f>SUM(L19:L38)</f>
        <v>0</v>
      </c>
      <c r="M18" s="98">
        <f>SUM(M19:M38)</f>
        <v>0</v>
      </c>
      <c r="N18" s="31"/>
      <c r="O18" s="35">
        <f>SUM(O19:O38)</f>
        <v>0</v>
      </c>
      <c r="P18" s="29"/>
      <c r="Q18" s="29"/>
      <c r="R18" s="35">
        <f>SUM(R19:R38)</f>
        <v>0</v>
      </c>
      <c r="S18" s="29"/>
      <c r="T18" s="29"/>
      <c r="U18" s="97">
        <f>SUM(U19:U38)</f>
        <v>0</v>
      </c>
      <c r="V18" s="97">
        <f t="shared" ref="V18:AA18" si="0">SUM(V19:V38)</f>
        <v>0</v>
      </c>
      <c r="W18" s="97">
        <f t="shared" si="0"/>
        <v>0</v>
      </c>
      <c r="X18" s="98">
        <f t="shared" si="0"/>
        <v>0</v>
      </c>
      <c r="Y18" s="97">
        <f t="shared" si="0"/>
        <v>0</v>
      </c>
      <c r="Z18" s="97">
        <f t="shared" si="0"/>
        <v>0</v>
      </c>
      <c r="AA18" s="328">
        <f t="shared" si="0"/>
        <v>0</v>
      </c>
    </row>
    <row r="19" spans="2:27" x14ac:dyDescent="0.55000000000000004">
      <c r="B19" s="194" t="s">
        <v>167</v>
      </c>
      <c r="C19" s="25"/>
      <c r="D19" s="2"/>
      <c r="E19" s="6"/>
      <c r="F19" s="6"/>
      <c r="G19" s="6"/>
      <c r="H19" s="6"/>
      <c r="I19" s="6"/>
      <c r="J19" s="20">
        <f t="shared" ref="J19:J38" si="1">H19*I19</f>
        <v>0</v>
      </c>
      <c r="K19" s="20">
        <f t="shared" ref="K19:K38" si="2">E19*G19*J19</f>
        <v>0</v>
      </c>
      <c r="L19" s="20">
        <f t="shared" ref="L19:L38" si="3">F19*G19*J19</f>
        <v>0</v>
      </c>
      <c r="M19" s="93">
        <f>IF(OR($E$10="",K19="",L19=""),0,K19*係数!$H$30+L19*$E$10)</f>
        <v>0</v>
      </c>
      <c r="N19" s="25"/>
      <c r="O19" s="2"/>
      <c r="P19" s="6"/>
      <c r="Q19" s="6"/>
      <c r="R19" s="6"/>
      <c r="S19" s="6"/>
      <c r="T19" s="6"/>
      <c r="U19" s="20">
        <f>S19*T19</f>
        <v>0</v>
      </c>
      <c r="V19" s="20">
        <f t="shared" ref="V19:V38" si="4">P19*R19*U19</f>
        <v>0</v>
      </c>
      <c r="W19" s="20">
        <f t="shared" ref="W19:W38" si="5">Q19*R19*U19</f>
        <v>0</v>
      </c>
      <c r="X19" s="93">
        <f>V19*係数!$H$30+W19*係数!$H$25</f>
        <v>0</v>
      </c>
      <c r="Y19" s="20">
        <f t="shared" ref="Y19:Z38" si="6">K19-V19</f>
        <v>0</v>
      </c>
      <c r="Z19" s="20">
        <f t="shared" si="6"/>
        <v>0</v>
      </c>
      <c r="AA19" s="328">
        <f t="shared" ref="AA19:AA38" si="7">IF(OR(M19="",X19=""),0,M19-X19)</f>
        <v>0</v>
      </c>
    </row>
    <row r="20" spans="2:27" x14ac:dyDescent="0.55000000000000004">
      <c r="B20" s="194" t="s">
        <v>168</v>
      </c>
      <c r="C20" s="25"/>
      <c r="D20" s="2"/>
      <c r="E20" s="6"/>
      <c r="F20" s="6"/>
      <c r="G20" s="6"/>
      <c r="H20" s="6"/>
      <c r="I20" s="6"/>
      <c r="J20" s="20">
        <f t="shared" si="1"/>
        <v>0</v>
      </c>
      <c r="K20" s="20">
        <f t="shared" si="2"/>
        <v>0</v>
      </c>
      <c r="L20" s="20">
        <f t="shared" si="3"/>
        <v>0</v>
      </c>
      <c r="M20" s="93">
        <f>IF(OR($E$10="",K20="",L20=""),0,K20*係数!$H$30+L20*$E$10)</f>
        <v>0</v>
      </c>
      <c r="N20" s="25"/>
      <c r="O20" s="2"/>
      <c r="P20" s="6"/>
      <c r="Q20" s="6"/>
      <c r="R20" s="6"/>
      <c r="S20" s="6"/>
      <c r="T20" s="6"/>
      <c r="U20" s="20">
        <f t="shared" ref="U20:U38" si="8">S20*T20</f>
        <v>0</v>
      </c>
      <c r="V20" s="20">
        <f t="shared" si="4"/>
        <v>0</v>
      </c>
      <c r="W20" s="20">
        <f t="shared" si="5"/>
        <v>0</v>
      </c>
      <c r="X20" s="93">
        <f>V20*係数!$H$30+W20*係数!$H$25</f>
        <v>0</v>
      </c>
      <c r="Y20" s="20">
        <f t="shared" si="6"/>
        <v>0</v>
      </c>
      <c r="Z20" s="20">
        <f t="shared" si="6"/>
        <v>0</v>
      </c>
      <c r="AA20" s="328">
        <f t="shared" si="7"/>
        <v>0</v>
      </c>
    </row>
    <row r="21" spans="2:27" x14ac:dyDescent="0.55000000000000004">
      <c r="B21" s="194" t="s">
        <v>169</v>
      </c>
      <c r="C21" s="25"/>
      <c r="D21" s="2"/>
      <c r="E21" s="6"/>
      <c r="F21" s="6"/>
      <c r="G21" s="6"/>
      <c r="H21" s="6"/>
      <c r="I21" s="6"/>
      <c r="J21" s="20">
        <f t="shared" si="1"/>
        <v>0</v>
      </c>
      <c r="K21" s="20">
        <f t="shared" si="2"/>
        <v>0</v>
      </c>
      <c r="L21" s="20">
        <f t="shared" si="3"/>
        <v>0</v>
      </c>
      <c r="M21" s="93">
        <f>IF(OR($E$10="",K21="",L21=""),0,K21*係数!$H$30+L21*$E$10)</f>
        <v>0</v>
      </c>
      <c r="N21" s="25"/>
      <c r="O21" s="2"/>
      <c r="P21" s="6"/>
      <c r="Q21" s="6"/>
      <c r="R21" s="6"/>
      <c r="S21" s="6"/>
      <c r="T21" s="6"/>
      <c r="U21" s="20">
        <f t="shared" si="8"/>
        <v>0</v>
      </c>
      <c r="V21" s="20">
        <f t="shared" si="4"/>
        <v>0</v>
      </c>
      <c r="W21" s="20">
        <f t="shared" si="5"/>
        <v>0</v>
      </c>
      <c r="X21" s="93">
        <f>V21*係数!$H$30+W21*係数!$H$25</f>
        <v>0</v>
      </c>
      <c r="Y21" s="20">
        <f t="shared" si="6"/>
        <v>0</v>
      </c>
      <c r="Z21" s="20">
        <f t="shared" si="6"/>
        <v>0</v>
      </c>
      <c r="AA21" s="328">
        <f t="shared" si="7"/>
        <v>0</v>
      </c>
    </row>
    <row r="22" spans="2:27" x14ac:dyDescent="0.55000000000000004">
      <c r="B22" s="194" t="s">
        <v>170</v>
      </c>
      <c r="C22" s="25"/>
      <c r="D22" s="2"/>
      <c r="E22" s="6"/>
      <c r="F22" s="6"/>
      <c r="G22" s="6"/>
      <c r="H22" s="6"/>
      <c r="I22" s="6"/>
      <c r="J22" s="20">
        <f t="shared" si="1"/>
        <v>0</v>
      </c>
      <c r="K22" s="20">
        <f t="shared" si="2"/>
        <v>0</v>
      </c>
      <c r="L22" s="20">
        <f t="shared" si="3"/>
        <v>0</v>
      </c>
      <c r="M22" s="93">
        <f>IF(OR($E$10="",K22="",L22=""),0,K22*係数!$H$30+L22*$E$10)</f>
        <v>0</v>
      </c>
      <c r="N22" s="25"/>
      <c r="O22" s="25"/>
      <c r="P22" s="6"/>
      <c r="Q22" s="6"/>
      <c r="R22" s="6"/>
      <c r="S22" s="6"/>
      <c r="T22" s="6"/>
      <c r="U22" s="20">
        <f t="shared" si="8"/>
        <v>0</v>
      </c>
      <c r="V22" s="20">
        <f t="shared" si="4"/>
        <v>0</v>
      </c>
      <c r="W22" s="20">
        <f t="shared" si="5"/>
        <v>0</v>
      </c>
      <c r="X22" s="93">
        <f>V22*係数!$H$30+W22*係数!$H$25</f>
        <v>0</v>
      </c>
      <c r="Y22" s="20">
        <f t="shared" si="6"/>
        <v>0</v>
      </c>
      <c r="Z22" s="20">
        <f t="shared" si="6"/>
        <v>0</v>
      </c>
      <c r="AA22" s="328">
        <f t="shared" si="7"/>
        <v>0</v>
      </c>
    </row>
    <row r="23" spans="2:27" x14ac:dyDescent="0.55000000000000004">
      <c r="B23" s="194" t="s">
        <v>171</v>
      </c>
      <c r="C23" s="25"/>
      <c r="D23" s="2"/>
      <c r="E23" s="6"/>
      <c r="F23" s="6"/>
      <c r="G23" s="6"/>
      <c r="H23" s="6"/>
      <c r="I23" s="6"/>
      <c r="J23" s="20">
        <f t="shared" si="1"/>
        <v>0</v>
      </c>
      <c r="K23" s="20">
        <f t="shared" si="2"/>
        <v>0</v>
      </c>
      <c r="L23" s="20">
        <f t="shared" si="3"/>
        <v>0</v>
      </c>
      <c r="M23" s="93">
        <f>IF(OR($E$10="",K23="",L23=""),0,K23*係数!$H$30+L23*$E$10)</f>
        <v>0</v>
      </c>
      <c r="N23" s="25"/>
      <c r="O23" s="25"/>
      <c r="P23" s="6"/>
      <c r="Q23" s="6"/>
      <c r="R23" s="6"/>
      <c r="S23" s="6"/>
      <c r="T23" s="6"/>
      <c r="U23" s="20">
        <f t="shared" si="8"/>
        <v>0</v>
      </c>
      <c r="V23" s="20">
        <f t="shared" si="4"/>
        <v>0</v>
      </c>
      <c r="W23" s="20">
        <f t="shared" si="5"/>
        <v>0</v>
      </c>
      <c r="X23" s="93">
        <f>V23*係数!$H$30+W23*係数!$H$25</f>
        <v>0</v>
      </c>
      <c r="Y23" s="20">
        <f t="shared" si="6"/>
        <v>0</v>
      </c>
      <c r="Z23" s="20">
        <f t="shared" si="6"/>
        <v>0</v>
      </c>
      <c r="AA23" s="328">
        <f t="shared" si="7"/>
        <v>0</v>
      </c>
    </row>
    <row r="24" spans="2:27" x14ac:dyDescent="0.55000000000000004">
      <c r="B24" s="194" t="s">
        <v>172</v>
      </c>
      <c r="C24" s="25"/>
      <c r="D24" s="2"/>
      <c r="E24" s="6"/>
      <c r="F24" s="6"/>
      <c r="G24" s="6"/>
      <c r="H24" s="6"/>
      <c r="I24" s="6"/>
      <c r="J24" s="20">
        <f t="shared" si="1"/>
        <v>0</v>
      </c>
      <c r="K24" s="20">
        <f t="shared" si="2"/>
        <v>0</v>
      </c>
      <c r="L24" s="20">
        <f t="shared" si="3"/>
        <v>0</v>
      </c>
      <c r="M24" s="93">
        <f>IF(OR($E$10="",K24="",L24=""),0,K24*係数!$H$30+L24*$E$10)</f>
        <v>0</v>
      </c>
      <c r="N24" s="25"/>
      <c r="O24" s="25"/>
      <c r="P24" s="6"/>
      <c r="Q24" s="6"/>
      <c r="R24" s="6"/>
      <c r="S24" s="6"/>
      <c r="T24" s="6"/>
      <c r="U24" s="20">
        <f t="shared" si="8"/>
        <v>0</v>
      </c>
      <c r="V24" s="20">
        <f t="shared" si="4"/>
        <v>0</v>
      </c>
      <c r="W24" s="20">
        <f t="shared" si="5"/>
        <v>0</v>
      </c>
      <c r="X24" s="93">
        <f>V24*係数!$H$30+W24*係数!$H$25</f>
        <v>0</v>
      </c>
      <c r="Y24" s="20">
        <f t="shared" si="6"/>
        <v>0</v>
      </c>
      <c r="Z24" s="20">
        <f t="shared" si="6"/>
        <v>0</v>
      </c>
      <c r="AA24" s="328">
        <f t="shared" si="7"/>
        <v>0</v>
      </c>
    </row>
    <row r="25" spans="2:27" x14ac:dyDescent="0.55000000000000004">
      <c r="B25" s="194" t="s">
        <v>173</v>
      </c>
      <c r="C25" s="25"/>
      <c r="D25" s="2"/>
      <c r="E25" s="6"/>
      <c r="F25" s="6"/>
      <c r="G25" s="6"/>
      <c r="H25" s="6"/>
      <c r="I25" s="6"/>
      <c r="J25" s="20">
        <f t="shared" si="1"/>
        <v>0</v>
      </c>
      <c r="K25" s="20">
        <f t="shared" si="2"/>
        <v>0</v>
      </c>
      <c r="L25" s="20">
        <f t="shared" si="3"/>
        <v>0</v>
      </c>
      <c r="M25" s="93">
        <f>IF(OR($E$10="",K25="",L25=""),0,K25*係数!$H$30+L25*$E$10)</f>
        <v>0</v>
      </c>
      <c r="N25" s="25"/>
      <c r="O25" s="25"/>
      <c r="P25" s="6"/>
      <c r="Q25" s="6"/>
      <c r="R25" s="6"/>
      <c r="S25" s="6"/>
      <c r="T25" s="6"/>
      <c r="U25" s="20">
        <f t="shared" si="8"/>
        <v>0</v>
      </c>
      <c r="V25" s="20">
        <f t="shared" si="4"/>
        <v>0</v>
      </c>
      <c r="W25" s="20">
        <f t="shared" si="5"/>
        <v>0</v>
      </c>
      <c r="X25" s="93">
        <f>V25*係数!$H$30+W25*係数!$H$25</f>
        <v>0</v>
      </c>
      <c r="Y25" s="20">
        <f t="shared" si="6"/>
        <v>0</v>
      </c>
      <c r="Z25" s="20">
        <f t="shared" si="6"/>
        <v>0</v>
      </c>
      <c r="AA25" s="328">
        <f t="shared" si="7"/>
        <v>0</v>
      </c>
    </row>
    <row r="26" spans="2:27" x14ac:dyDescent="0.55000000000000004">
      <c r="B26" s="194" t="s">
        <v>174</v>
      </c>
      <c r="C26" s="25"/>
      <c r="D26" s="2"/>
      <c r="E26" s="6"/>
      <c r="F26" s="6"/>
      <c r="G26" s="6"/>
      <c r="H26" s="6"/>
      <c r="I26" s="6"/>
      <c r="J26" s="20">
        <f t="shared" si="1"/>
        <v>0</v>
      </c>
      <c r="K26" s="20">
        <f t="shared" si="2"/>
        <v>0</v>
      </c>
      <c r="L26" s="20">
        <f t="shared" si="3"/>
        <v>0</v>
      </c>
      <c r="M26" s="93">
        <f>IF(OR($E$10="",K26="",L26=""),0,K26*係数!$H$30+L26*$E$10)</f>
        <v>0</v>
      </c>
      <c r="N26" s="25"/>
      <c r="O26" s="25"/>
      <c r="P26" s="6"/>
      <c r="Q26" s="6"/>
      <c r="R26" s="6"/>
      <c r="S26" s="6"/>
      <c r="T26" s="6"/>
      <c r="U26" s="20">
        <f t="shared" si="8"/>
        <v>0</v>
      </c>
      <c r="V26" s="20">
        <f t="shared" si="4"/>
        <v>0</v>
      </c>
      <c r="W26" s="20">
        <f t="shared" si="5"/>
        <v>0</v>
      </c>
      <c r="X26" s="93">
        <f>V26*係数!$H$30+W26*係数!$H$25</f>
        <v>0</v>
      </c>
      <c r="Y26" s="20">
        <f t="shared" si="6"/>
        <v>0</v>
      </c>
      <c r="Z26" s="20">
        <f t="shared" si="6"/>
        <v>0</v>
      </c>
      <c r="AA26" s="328">
        <f t="shared" si="7"/>
        <v>0</v>
      </c>
    </row>
    <row r="27" spans="2:27" x14ac:dyDescent="0.55000000000000004">
      <c r="B27" s="194" t="s">
        <v>175</v>
      </c>
      <c r="C27" s="25"/>
      <c r="D27" s="2"/>
      <c r="E27" s="6"/>
      <c r="F27" s="6"/>
      <c r="G27" s="6"/>
      <c r="H27" s="6"/>
      <c r="I27" s="6"/>
      <c r="J27" s="20">
        <f t="shared" si="1"/>
        <v>0</v>
      </c>
      <c r="K27" s="20">
        <f t="shared" si="2"/>
        <v>0</v>
      </c>
      <c r="L27" s="20">
        <f t="shared" si="3"/>
        <v>0</v>
      </c>
      <c r="M27" s="93">
        <f>IF(OR($E$10="",K27="",L27=""),0,K27*係数!$H$30+L27*$E$10)</f>
        <v>0</v>
      </c>
      <c r="N27" s="25"/>
      <c r="O27" s="25"/>
      <c r="P27" s="6"/>
      <c r="Q27" s="6"/>
      <c r="R27" s="6"/>
      <c r="S27" s="6"/>
      <c r="T27" s="6"/>
      <c r="U27" s="20">
        <f t="shared" si="8"/>
        <v>0</v>
      </c>
      <c r="V27" s="20">
        <f t="shared" si="4"/>
        <v>0</v>
      </c>
      <c r="W27" s="20">
        <f t="shared" si="5"/>
        <v>0</v>
      </c>
      <c r="X27" s="93">
        <f>V27*係数!$H$30+W27*係数!$H$25</f>
        <v>0</v>
      </c>
      <c r="Y27" s="20">
        <f t="shared" si="6"/>
        <v>0</v>
      </c>
      <c r="Z27" s="20">
        <f t="shared" si="6"/>
        <v>0</v>
      </c>
      <c r="AA27" s="328">
        <f t="shared" si="7"/>
        <v>0</v>
      </c>
    </row>
    <row r="28" spans="2:27" x14ac:dyDescent="0.55000000000000004">
      <c r="B28" s="194" t="s">
        <v>176</v>
      </c>
      <c r="C28" s="25"/>
      <c r="D28" s="2"/>
      <c r="E28" s="6"/>
      <c r="F28" s="6"/>
      <c r="G28" s="6"/>
      <c r="H28" s="6"/>
      <c r="I28" s="6"/>
      <c r="J28" s="20">
        <f t="shared" si="1"/>
        <v>0</v>
      </c>
      <c r="K28" s="20">
        <f t="shared" si="2"/>
        <v>0</v>
      </c>
      <c r="L28" s="20">
        <f t="shared" si="3"/>
        <v>0</v>
      </c>
      <c r="M28" s="93">
        <f>IF(OR($E$10="",K28="",L28=""),0,K28*係数!$H$30+L28*$E$10)</f>
        <v>0</v>
      </c>
      <c r="N28" s="25"/>
      <c r="O28" s="25"/>
      <c r="P28" s="6"/>
      <c r="Q28" s="6"/>
      <c r="R28" s="6"/>
      <c r="S28" s="6"/>
      <c r="T28" s="6"/>
      <c r="U28" s="20">
        <f t="shared" si="8"/>
        <v>0</v>
      </c>
      <c r="V28" s="20">
        <f t="shared" si="4"/>
        <v>0</v>
      </c>
      <c r="W28" s="20">
        <f t="shared" si="5"/>
        <v>0</v>
      </c>
      <c r="X28" s="93">
        <f>V28*係数!$H$30+W28*係数!$H$25</f>
        <v>0</v>
      </c>
      <c r="Y28" s="20">
        <f t="shared" si="6"/>
        <v>0</v>
      </c>
      <c r="Z28" s="20">
        <f t="shared" si="6"/>
        <v>0</v>
      </c>
      <c r="AA28" s="328">
        <f t="shared" si="7"/>
        <v>0</v>
      </c>
    </row>
    <row r="29" spans="2:27" x14ac:dyDescent="0.55000000000000004">
      <c r="B29" s="194" t="s">
        <v>177</v>
      </c>
      <c r="C29" s="25"/>
      <c r="D29" s="2"/>
      <c r="E29" s="6"/>
      <c r="F29" s="6"/>
      <c r="G29" s="6"/>
      <c r="H29" s="6"/>
      <c r="I29" s="6"/>
      <c r="J29" s="20">
        <f t="shared" si="1"/>
        <v>0</v>
      </c>
      <c r="K29" s="20">
        <f t="shared" si="2"/>
        <v>0</v>
      </c>
      <c r="L29" s="20">
        <f t="shared" si="3"/>
        <v>0</v>
      </c>
      <c r="M29" s="93">
        <f>IF(OR($E$10="",K29="",L29=""),0,K29*係数!$H$30+L29*$E$10)</f>
        <v>0</v>
      </c>
      <c r="N29" s="25"/>
      <c r="O29" s="25"/>
      <c r="P29" s="6"/>
      <c r="Q29" s="6"/>
      <c r="R29" s="6"/>
      <c r="S29" s="6"/>
      <c r="T29" s="6"/>
      <c r="U29" s="20">
        <f t="shared" si="8"/>
        <v>0</v>
      </c>
      <c r="V29" s="20">
        <f t="shared" si="4"/>
        <v>0</v>
      </c>
      <c r="W29" s="20">
        <f t="shared" si="5"/>
        <v>0</v>
      </c>
      <c r="X29" s="93">
        <f>V29*係数!$H$30+W29*係数!$H$25</f>
        <v>0</v>
      </c>
      <c r="Y29" s="20">
        <f t="shared" si="6"/>
        <v>0</v>
      </c>
      <c r="Z29" s="20">
        <f t="shared" si="6"/>
        <v>0</v>
      </c>
      <c r="AA29" s="328">
        <f t="shared" si="7"/>
        <v>0</v>
      </c>
    </row>
    <row r="30" spans="2:27" x14ac:dyDescent="0.55000000000000004">
      <c r="B30" s="194" t="s">
        <v>178</v>
      </c>
      <c r="C30" s="25"/>
      <c r="D30" s="2"/>
      <c r="E30" s="6"/>
      <c r="F30" s="6"/>
      <c r="G30" s="6"/>
      <c r="H30" s="6"/>
      <c r="I30" s="6"/>
      <c r="J30" s="20">
        <f t="shared" si="1"/>
        <v>0</v>
      </c>
      <c r="K30" s="20">
        <f t="shared" si="2"/>
        <v>0</v>
      </c>
      <c r="L30" s="20">
        <f t="shared" si="3"/>
        <v>0</v>
      </c>
      <c r="M30" s="93">
        <f>IF(OR($E$10="",K30="",L30=""),0,K30*係数!$H$30+L30*$E$10)</f>
        <v>0</v>
      </c>
      <c r="N30" s="25"/>
      <c r="O30" s="25"/>
      <c r="P30" s="6"/>
      <c r="Q30" s="6"/>
      <c r="R30" s="6"/>
      <c r="S30" s="6"/>
      <c r="T30" s="6"/>
      <c r="U30" s="20">
        <f t="shared" si="8"/>
        <v>0</v>
      </c>
      <c r="V30" s="20">
        <f t="shared" si="4"/>
        <v>0</v>
      </c>
      <c r="W30" s="20">
        <f t="shared" si="5"/>
        <v>0</v>
      </c>
      <c r="X30" s="93">
        <f>V30*係数!$H$30+W30*係数!$H$25</f>
        <v>0</v>
      </c>
      <c r="Y30" s="20">
        <f t="shared" si="6"/>
        <v>0</v>
      </c>
      <c r="Z30" s="20">
        <f t="shared" si="6"/>
        <v>0</v>
      </c>
      <c r="AA30" s="328">
        <f t="shared" si="7"/>
        <v>0</v>
      </c>
    </row>
    <row r="31" spans="2:27" x14ac:dyDescent="0.55000000000000004">
      <c r="B31" s="194" t="s">
        <v>179</v>
      </c>
      <c r="C31" s="25"/>
      <c r="D31" s="2"/>
      <c r="E31" s="6"/>
      <c r="F31" s="6"/>
      <c r="G31" s="6"/>
      <c r="H31" s="6"/>
      <c r="I31" s="6"/>
      <c r="J31" s="20">
        <f t="shared" si="1"/>
        <v>0</v>
      </c>
      <c r="K31" s="20">
        <f t="shared" si="2"/>
        <v>0</v>
      </c>
      <c r="L31" s="20">
        <f t="shared" si="3"/>
        <v>0</v>
      </c>
      <c r="M31" s="93">
        <f>IF(OR($E$10="",K31="",L31=""),0,K31*係数!$H$30+L31*$E$10)</f>
        <v>0</v>
      </c>
      <c r="N31" s="25"/>
      <c r="O31" s="25"/>
      <c r="P31" s="6"/>
      <c r="Q31" s="6"/>
      <c r="R31" s="6"/>
      <c r="S31" s="6"/>
      <c r="T31" s="6"/>
      <c r="U31" s="20">
        <f t="shared" si="8"/>
        <v>0</v>
      </c>
      <c r="V31" s="20">
        <f t="shared" si="4"/>
        <v>0</v>
      </c>
      <c r="W31" s="20">
        <f t="shared" si="5"/>
        <v>0</v>
      </c>
      <c r="X31" s="93">
        <f>V31*係数!$H$30+W31*係数!$H$25</f>
        <v>0</v>
      </c>
      <c r="Y31" s="20">
        <f t="shared" si="6"/>
        <v>0</v>
      </c>
      <c r="Z31" s="20">
        <f t="shared" si="6"/>
        <v>0</v>
      </c>
      <c r="AA31" s="328">
        <f t="shared" si="7"/>
        <v>0</v>
      </c>
    </row>
    <row r="32" spans="2:27" x14ac:dyDescent="0.55000000000000004">
      <c r="B32" s="194" t="s">
        <v>180</v>
      </c>
      <c r="C32" s="25"/>
      <c r="D32" s="2"/>
      <c r="E32" s="6"/>
      <c r="F32" s="6"/>
      <c r="G32" s="6"/>
      <c r="H32" s="6"/>
      <c r="I32" s="6"/>
      <c r="J32" s="20">
        <f t="shared" si="1"/>
        <v>0</v>
      </c>
      <c r="K32" s="20">
        <f t="shared" si="2"/>
        <v>0</v>
      </c>
      <c r="L32" s="20">
        <f t="shared" si="3"/>
        <v>0</v>
      </c>
      <c r="M32" s="93">
        <f>IF(OR($E$10="",K32="",L32=""),0,K32*係数!$H$30+L32*$E$10)</f>
        <v>0</v>
      </c>
      <c r="N32" s="25"/>
      <c r="O32" s="25"/>
      <c r="P32" s="6"/>
      <c r="Q32" s="6"/>
      <c r="R32" s="6"/>
      <c r="S32" s="6"/>
      <c r="T32" s="6"/>
      <c r="U32" s="20">
        <f t="shared" si="8"/>
        <v>0</v>
      </c>
      <c r="V32" s="20">
        <f t="shared" si="4"/>
        <v>0</v>
      </c>
      <c r="W32" s="20">
        <f t="shared" si="5"/>
        <v>0</v>
      </c>
      <c r="X32" s="93">
        <f>V32*係数!$H$30+W32*係数!$H$25</f>
        <v>0</v>
      </c>
      <c r="Y32" s="20">
        <f t="shared" si="6"/>
        <v>0</v>
      </c>
      <c r="Z32" s="20">
        <f t="shared" si="6"/>
        <v>0</v>
      </c>
      <c r="AA32" s="328">
        <f t="shared" si="7"/>
        <v>0</v>
      </c>
    </row>
    <row r="33" spans="2:27" x14ac:dyDescent="0.55000000000000004">
      <c r="B33" s="194" t="s">
        <v>181</v>
      </c>
      <c r="C33" s="25"/>
      <c r="D33" s="2"/>
      <c r="E33" s="6"/>
      <c r="F33" s="6"/>
      <c r="G33" s="6"/>
      <c r="H33" s="6"/>
      <c r="I33" s="6"/>
      <c r="J33" s="20">
        <f t="shared" si="1"/>
        <v>0</v>
      </c>
      <c r="K33" s="20">
        <f t="shared" si="2"/>
        <v>0</v>
      </c>
      <c r="L33" s="20">
        <f t="shared" si="3"/>
        <v>0</v>
      </c>
      <c r="M33" s="93">
        <f>IF(OR($E$10="",K33="",L33=""),0,K33*係数!$H$30+L33*$E$10)</f>
        <v>0</v>
      </c>
      <c r="N33" s="25"/>
      <c r="O33" s="25"/>
      <c r="P33" s="6"/>
      <c r="Q33" s="6"/>
      <c r="R33" s="6"/>
      <c r="S33" s="6"/>
      <c r="T33" s="6"/>
      <c r="U33" s="20">
        <f t="shared" si="8"/>
        <v>0</v>
      </c>
      <c r="V33" s="20">
        <f t="shared" si="4"/>
        <v>0</v>
      </c>
      <c r="W33" s="20">
        <f t="shared" si="5"/>
        <v>0</v>
      </c>
      <c r="X33" s="93">
        <f>V33*係数!$H$30+W33*係数!$H$25</f>
        <v>0</v>
      </c>
      <c r="Y33" s="20">
        <f t="shared" si="6"/>
        <v>0</v>
      </c>
      <c r="Z33" s="20">
        <f t="shared" si="6"/>
        <v>0</v>
      </c>
      <c r="AA33" s="328">
        <f t="shared" si="7"/>
        <v>0</v>
      </c>
    </row>
    <row r="34" spans="2:27" x14ac:dyDescent="0.55000000000000004">
      <c r="B34" s="194" t="s">
        <v>185</v>
      </c>
      <c r="C34" s="25"/>
      <c r="D34" s="25"/>
      <c r="E34" s="6"/>
      <c r="F34" s="6"/>
      <c r="G34" s="6"/>
      <c r="H34" s="6"/>
      <c r="I34" s="6"/>
      <c r="J34" s="20">
        <f t="shared" si="1"/>
        <v>0</v>
      </c>
      <c r="K34" s="20">
        <f t="shared" si="2"/>
        <v>0</v>
      </c>
      <c r="L34" s="20">
        <f t="shared" si="3"/>
        <v>0</v>
      </c>
      <c r="M34" s="93">
        <f>IF(OR($E$10="",K34="",L34=""),0,K34*係数!$H$30+L34*$E$10)</f>
        <v>0</v>
      </c>
      <c r="N34" s="25"/>
      <c r="O34" s="25"/>
      <c r="P34" s="6"/>
      <c r="Q34" s="6"/>
      <c r="R34" s="6"/>
      <c r="S34" s="6"/>
      <c r="T34" s="6"/>
      <c r="U34" s="20">
        <f t="shared" si="8"/>
        <v>0</v>
      </c>
      <c r="V34" s="20">
        <f t="shared" si="4"/>
        <v>0</v>
      </c>
      <c r="W34" s="20">
        <f t="shared" si="5"/>
        <v>0</v>
      </c>
      <c r="X34" s="93">
        <f>V34*係数!$H$30+W34*係数!$H$25</f>
        <v>0</v>
      </c>
      <c r="Y34" s="20">
        <f t="shared" si="6"/>
        <v>0</v>
      </c>
      <c r="Z34" s="20">
        <f t="shared" si="6"/>
        <v>0</v>
      </c>
      <c r="AA34" s="328">
        <f t="shared" si="7"/>
        <v>0</v>
      </c>
    </row>
    <row r="35" spans="2:27" x14ac:dyDescent="0.55000000000000004">
      <c r="B35" s="194" t="s">
        <v>186</v>
      </c>
      <c r="C35" s="25"/>
      <c r="D35" s="25"/>
      <c r="E35" s="6"/>
      <c r="F35" s="6"/>
      <c r="G35" s="6"/>
      <c r="H35" s="6"/>
      <c r="I35" s="6"/>
      <c r="J35" s="20">
        <f t="shared" si="1"/>
        <v>0</v>
      </c>
      <c r="K35" s="20">
        <f t="shared" si="2"/>
        <v>0</v>
      </c>
      <c r="L35" s="20">
        <f t="shared" si="3"/>
        <v>0</v>
      </c>
      <c r="M35" s="93">
        <f>IF(OR($E$10="",K35="",L35=""),0,K35*係数!$H$30+L35*$E$10)</f>
        <v>0</v>
      </c>
      <c r="N35" s="25"/>
      <c r="O35" s="25"/>
      <c r="P35" s="6"/>
      <c r="Q35" s="6"/>
      <c r="R35" s="6"/>
      <c r="S35" s="6"/>
      <c r="T35" s="6"/>
      <c r="U35" s="20">
        <f t="shared" si="8"/>
        <v>0</v>
      </c>
      <c r="V35" s="20">
        <f t="shared" si="4"/>
        <v>0</v>
      </c>
      <c r="W35" s="20">
        <f t="shared" si="5"/>
        <v>0</v>
      </c>
      <c r="X35" s="93">
        <f>V35*係数!$H$30+W35*係数!$H$25</f>
        <v>0</v>
      </c>
      <c r="Y35" s="20">
        <f t="shared" si="6"/>
        <v>0</v>
      </c>
      <c r="Z35" s="20">
        <f t="shared" si="6"/>
        <v>0</v>
      </c>
      <c r="AA35" s="328">
        <f t="shared" si="7"/>
        <v>0</v>
      </c>
    </row>
    <row r="36" spans="2:27" x14ac:dyDescent="0.55000000000000004">
      <c r="B36" s="194" t="s">
        <v>187</v>
      </c>
      <c r="C36" s="25"/>
      <c r="D36" s="25"/>
      <c r="E36" s="6"/>
      <c r="F36" s="6"/>
      <c r="G36" s="6"/>
      <c r="H36" s="6"/>
      <c r="I36" s="6"/>
      <c r="J36" s="20">
        <f t="shared" si="1"/>
        <v>0</v>
      </c>
      <c r="K36" s="20">
        <f t="shared" si="2"/>
        <v>0</v>
      </c>
      <c r="L36" s="20">
        <f t="shared" si="3"/>
        <v>0</v>
      </c>
      <c r="M36" s="93">
        <f>IF(OR($E$10="",K36="",L36=""),0,K36*係数!$H$30+L36*$E$10)</f>
        <v>0</v>
      </c>
      <c r="N36" s="25"/>
      <c r="O36" s="25"/>
      <c r="P36" s="6"/>
      <c r="Q36" s="6"/>
      <c r="R36" s="6"/>
      <c r="S36" s="6"/>
      <c r="T36" s="6"/>
      <c r="U36" s="20">
        <f t="shared" si="8"/>
        <v>0</v>
      </c>
      <c r="V36" s="20">
        <f t="shared" si="4"/>
        <v>0</v>
      </c>
      <c r="W36" s="20">
        <f t="shared" si="5"/>
        <v>0</v>
      </c>
      <c r="X36" s="93">
        <f>V36*係数!$H$30+W36*係数!$H$25</f>
        <v>0</v>
      </c>
      <c r="Y36" s="20">
        <f t="shared" si="6"/>
        <v>0</v>
      </c>
      <c r="Z36" s="20">
        <f t="shared" si="6"/>
        <v>0</v>
      </c>
      <c r="AA36" s="328">
        <f t="shared" si="7"/>
        <v>0</v>
      </c>
    </row>
    <row r="37" spans="2:27" x14ac:dyDescent="0.55000000000000004">
      <c r="B37" s="194" t="s">
        <v>188</v>
      </c>
      <c r="C37" s="25"/>
      <c r="D37" s="25"/>
      <c r="E37" s="6"/>
      <c r="F37" s="6"/>
      <c r="G37" s="6"/>
      <c r="H37" s="6"/>
      <c r="I37" s="6"/>
      <c r="J37" s="20">
        <f t="shared" si="1"/>
        <v>0</v>
      </c>
      <c r="K37" s="20">
        <f t="shared" si="2"/>
        <v>0</v>
      </c>
      <c r="L37" s="20">
        <f t="shared" si="3"/>
        <v>0</v>
      </c>
      <c r="M37" s="93">
        <f>IF(OR($E$10="",K37="",L37=""),0,K37*係数!$H$30+L37*$E$10)</f>
        <v>0</v>
      </c>
      <c r="N37" s="25"/>
      <c r="O37" s="25"/>
      <c r="P37" s="6"/>
      <c r="Q37" s="6"/>
      <c r="R37" s="6"/>
      <c r="S37" s="6"/>
      <c r="T37" s="6"/>
      <c r="U37" s="20">
        <f t="shared" si="8"/>
        <v>0</v>
      </c>
      <c r="V37" s="20">
        <f t="shared" si="4"/>
        <v>0</v>
      </c>
      <c r="W37" s="20">
        <f t="shared" si="5"/>
        <v>0</v>
      </c>
      <c r="X37" s="93">
        <f>V37*係数!$H$30+W37*係数!$H$25</f>
        <v>0</v>
      </c>
      <c r="Y37" s="20">
        <f t="shared" si="6"/>
        <v>0</v>
      </c>
      <c r="Z37" s="20">
        <f t="shared" si="6"/>
        <v>0</v>
      </c>
      <c r="AA37" s="328">
        <f t="shared" si="7"/>
        <v>0</v>
      </c>
    </row>
    <row r="38" spans="2:27" x14ac:dyDescent="0.55000000000000004">
      <c r="B38" s="194" t="s">
        <v>189</v>
      </c>
      <c r="C38" s="25"/>
      <c r="D38" s="25"/>
      <c r="E38" s="6"/>
      <c r="F38" s="6"/>
      <c r="G38" s="6"/>
      <c r="H38" s="6"/>
      <c r="I38" s="6"/>
      <c r="J38" s="20">
        <f t="shared" si="1"/>
        <v>0</v>
      </c>
      <c r="K38" s="20">
        <f t="shared" si="2"/>
        <v>0</v>
      </c>
      <c r="L38" s="20">
        <f t="shared" si="3"/>
        <v>0</v>
      </c>
      <c r="M38" s="93">
        <f>IF(OR($E$10="",K38="",L38=""),0,K38*係数!$H$30+L38*$E$10)</f>
        <v>0</v>
      </c>
      <c r="N38" s="25"/>
      <c r="O38" s="25"/>
      <c r="P38" s="6"/>
      <c r="Q38" s="6"/>
      <c r="R38" s="6"/>
      <c r="S38" s="6"/>
      <c r="T38" s="6"/>
      <c r="U38" s="20">
        <f t="shared" si="8"/>
        <v>0</v>
      </c>
      <c r="V38" s="20">
        <f t="shared" si="4"/>
        <v>0</v>
      </c>
      <c r="W38" s="20">
        <f t="shared" si="5"/>
        <v>0</v>
      </c>
      <c r="X38" s="93">
        <f>V38*係数!$H$30+W38*係数!$H$25</f>
        <v>0</v>
      </c>
      <c r="Y38" s="20">
        <f t="shared" si="6"/>
        <v>0</v>
      </c>
      <c r="Z38" s="20">
        <f t="shared" si="6"/>
        <v>0</v>
      </c>
      <c r="AA38" s="328">
        <f t="shared" si="7"/>
        <v>0</v>
      </c>
    </row>
  </sheetData>
  <sheetProtection formatCells="0" formatColumns="0" formatRows="0"/>
  <mergeCells count="8">
    <mergeCell ref="D6:E6"/>
    <mergeCell ref="D7:E7"/>
    <mergeCell ref="D8:E8"/>
    <mergeCell ref="M3:U3"/>
    <mergeCell ref="M4:U4"/>
    <mergeCell ref="D3:E3"/>
    <mergeCell ref="D4:E4"/>
    <mergeCell ref="D5:E5"/>
  </mergeCells>
  <phoneticPr fontId="5"/>
  <conditionalFormatting sqref="G4:J7 D10 C19:C38 E19:N38 P19:AA38">
    <cfRule type="expression" dxfId="19" priority="9">
      <formula>$D$1="なし"</formula>
    </cfRule>
  </conditionalFormatting>
  <conditionalFormatting sqref="J8">
    <cfRule type="expression" dxfId="18" priority="8">
      <formula>$E$1="なし"</formula>
    </cfRule>
  </conditionalFormatting>
  <conditionalFormatting sqref="G8">
    <cfRule type="expression" dxfId="17" priority="7">
      <formula>$E$1="なし"</formula>
    </cfRule>
  </conditionalFormatting>
  <conditionalFormatting sqref="H8">
    <cfRule type="expression" dxfId="16" priority="6">
      <formula>$E$1="なし"</formula>
    </cfRule>
  </conditionalFormatting>
  <conditionalFormatting sqref="D34:D38">
    <cfRule type="expression" dxfId="15" priority="5">
      <formula>$D$1="なし"</formula>
    </cfRule>
  </conditionalFormatting>
  <conditionalFormatting sqref="D19:D33">
    <cfRule type="expression" dxfId="14" priority="4">
      <formula>$D$1="なし"</formula>
    </cfRule>
  </conditionalFormatting>
  <conditionalFormatting sqref="O22:O38">
    <cfRule type="expression" dxfId="13" priority="3">
      <formula>$D$1="なし"</formula>
    </cfRule>
  </conditionalFormatting>
  <conditionalFormatting sqref="O19:O21">
    <cfRule type="expression" dxfId="12" priority="2">
      <formula>$D$1="なし"</formula>
    </cfRule>
  </conditionalFormatting>
  <conditionalFormatting sqref="R17">
    <cfRule type="expression" dxfId="11" priority="1">
      <formula>$D$1="なし"</formula>
    </cfRule>
  </conditionalFormatting>
  <dataValidations count="1">
    <dataValidation type="whole" allowBlank="1" showInputMessage="1" showErrorMessage="1" sqref="R19:R38 R17">
      <formula1>0</formula1>
      <formula2>G17</formula2>
    </dataValidation>
  </dataValidations>
  <pageMargins left="0.70866141732283472" right="0.70866141732283472" top="0.74803149606299213" bottom="0.74803149606299213" header="0.31496062992125984" footer="0.31496062992125984"/>
  <pageSetup paperSize="9" scale="4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係数!$B$3:$B$30</xm:f>
          </x14:formula1>
          <xm:sqref>D10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5"/>
  <sheetViews>
    <sheetView view="pageBreakPreview" zoomScale="70" zoomScaleNormal="70" zoomScaleSheetLayoutView="70" workbookViewId="0">
      <selection activeCell="R178" sqref="R178"/>
    </sheetView>
  </sheetViews>
  <sheetFormatPr defaultColWidth="8.83203125" defaultRowHeight="18" x14ac:dyDescent="0.55000000000000004"/>
  <cols>
    <col min="1" max="1" width="8.83203125" style="27"/>
    <col min="2" max="2" width="9.08203125" style="27" customWidth="1"/>
    <col min="3" max="22" width="9.4140625" style="27" customWidth="1"/>
    <col min="23" max="16384" width="8.83203125" style="27"/>
  </cols>
  <sheetData>
    <row r="1" spans="1:24" s="352" customFormat="1" ht="29" x14ac:dyDescent="0.85">
      <c r="A1" s="351" t="s">
        <v>533</v>
      </c>
    </row>
    <row r="2" spans="1:24" s="352" customFormat="1" ht="29" x14ac:dyDescent="0.85">
      <c r="A2" s="351"/>
    </row>
    <row r="3" spans="1:24" s="352" customFormat="1" ht="29" x14ac:dyDescent="0.85">
      <c r="A3" s="351"/>
    </row>
    <row r="4" spans="1:24" s="352" customFormat="1" ht="18" customHeight="1" x14ac:dyDescent="0.85">
      <c r="A4" s="351"/>
    </row>
    <row r="5" spans="1:24" s="352" customFormat="1" ht="18" customHeight="1" x14ac:dyDescent="0.85">
      <c r="A5" s="351"/>
    </row>
    <row r="6" spans="1:24" s="352" customFormat="1" ht="18" customHeight="1" x14ac:dyDescent="0.85">
      <c r="A6" s="351"/>
    </row>
    <row r="7" spans="1:24" s="352" customFormat="1" ht="18" customHeight="1" x14ac:dyDescent="0.85">
      <c r="A7" s="351"/>
    </row>
    <row r="8" spans="1:24" s="352" customFormat="1" ht="18" customHeight="1" x14ac:dyDescent="0.85">
      <c r="A8" s="351"/>
    </row>
    <row r="9" spans="1:24" s="352" customFormat="1" ht="18" customHeight="1" x14ac:dyDescent="0.85">
      <c r="A9" s="351"/>
    </row>
    <row r="10" spans="1:24" s="352" customFormat="1" x14ac:dyDescent="0.55000000000000004">
      <c r="B10" s="693" t="s">
        <v>22</v>
      </c>
      <c r="C10" s="353" t="s">
        <v>24</v>
      </c>
      <c r="D10" s="353"/>
      <c r="E10" s="353"/>
      <c r="F10" s="353"/>
      <c r="G10" s="353"/>
      <c r="H10" s="353"/>
      <c r="I10" s="353"/>
      <c r="J10" s="353"/>
      <c r="K10" s="353"/>
      <c r="L10" s="353"/>
      <c r="M10" s="353" t="s">
        <v>25</v>
      </c>
      <c r="N10" s="353"/>
      <c r="O10" s="353"/>
      <c r="P10" s="353"/>
      <c r="Q10" s="353"/>
      <c r="R10" s="353"/>
      <c r="S10" s="353"/>
      <c r="T10" s="353"/>
      <c r="U10" s="353"/>
      <c r="V10" s="353"/>
      <c r="W10" s="353" t="s">
        <v>34</v>
      </c>
      <c r="X10" s="353"/>
    </row>
    <row r="11" spans="1:24" s="352" customFormat="1" ht="49.5" x14ac:dyDescent="0.55000000000000004">
      <c r="B11" s="694"/>
      <c r="C11" s="480" t="s">
        <v>35</v>
      </c>
      <c r="D11" s="480" t="s">
        <v>36</v>
      </c>
      <c r="E11" s="480" t="s">
        <v>37</v>
      </c>
      <c r="F11" s="480" t="s">
        <v>895</v>
      </c>
      <c r="G11" s="480" t="s">
        <v>399</v>
      </c>
      <c r="H11" s="480" t="s">
        <v>456</v>
      </c>
      <c r="I11" s="480" t="s">
        <v>891</v>
      </c>
      <c r="J11" s="480" t="s">
        <v>892</v>
      </c>
      <c r="K11" s="480" t="s">
        <v>400</v>
      </c>
      <c r="L11" s="480" t="s">
        <v>39</v>
      </c>
      <c r="M11" s="480" t="s">
        <v>35</v>
      </c>
      <c r="N11" s="480" t="s">
        <v>40</v>
      </c>
      <c r="O11" s="480" t="s">
        <v>41</v>
      </c>
      <c r="P11" s="480" t="s">
        <v>896</v>
      </c>
      <c r="Q11" s="330" t="s">
        <v>401</v>
      </c>
      <c r="R11" s="480" t="s">
        <v>456</v>
      </c>
      <c r="S11" s="480" t="s">
        <v>893</v>
      </c>
      <c r="T11" s="480" t="s">
        <v>894</v>
      </c>
      <c r="U11" s="480" t="s">
        <v>402</v>
      </c>
      <c r="V11" s="480" t="s">
        <v>44</v>
      </c>
      <c r="W11" s="474" t="s">
        <v>45</v>
      </c>
      <c r="X11" s="474" t="s">
        <v>46</v>
      </c>
    </row>
    <row r="12" spans="1:24" s="352" customFormat="1" x14ac:dyDescent="0.55000000000000004">
      <c r="B12" s="194" t="s">
        <v>23</v>
      </c>
      <c r="C12" s="469"/>
      <c r="D12" s="469" t="s">
        <v>47</v>
      </c>
      <c r="E12" s="469" t="s">
        <v>48</v>
      </c>
      <c r="F12" s="469" t="s">
        <v>49</v>
      </c>
      <c r="G12" s="469" t="s">
        <v>50</v>
      </c>
      <c r="H12" s="354"/>
      <c r="I12" s="469" t="s">
        <v>483</v>
      </c>
      <c r="J12" s="355" t="s">
        <v>51</v>
      </c>
      <c r="K12" s="469" t="s">
        <v>21</v>
      </c>
      <c r="L12" s="195" t="s">
        <v>9</v>
      </c>
      <c r="M12" s="195"/>
      <c r="N12" s="469" t="s">
        <v>47</v>
      </c>
      <c r="O12" s="469" t="s">
        <v>48</v>
      </c>
      <c r="P12" s="469" t="s">
        <v>49</v>
      </c>
      <c r="Q12" s="469" t="s">
        <v>50</v>
      </c>
      <c r="R12" s="354"/>
      <c r="S12" s="469" t="s">
        <v>483</v>
      </c>
      <c r="T12" s="469" t="s">
        <v>51</v>
      </c>
      <c r="U12" s="469" t="s">
        <v>21</v>
      </c>
      <c r="V12" s="195" t="s">
        <v>9</v>
      </c>
      <c r="W12" s="469" t="s">
        <v>21</v>
      </c>
      <c r="X12" s="195" t="s">
        <v>9</v>
      </c>
    </row>
    <row r="13" spans="1:24" s="352" customFormat="1" x14ac:dyDescent="0.55000000000000004">
      <c r="B13" s="321" t="s">
        <v>265</v>
      </c>
      <c r="C13" s="314" t="s">
        <v>450</v>
      </c>
      <c r="D13" s="356">
        <v>64</v>
      </c>
      <c r="E13" s="187">
        <v>60</v>
      </c>
      <c r="F13" s="187">
        <v>8</v>
      </c>
      <c r="G13" s="187">
        <v>250</v>
      </c>
      <c r="H13" s="357"/>
      <c r="I13" s="187"/>
      <c r="J13" s="191">
        <v>2000</v>
      </c>
      <c r="K13" s="191">
        <v>7680</v>
      </c>
      <c r="L13" s="192">
        <v>3.50976</v>
      </c>
      <c r="M13" s="237" t="s">
        <v>452</v>
      </c>
      <c r="N13" s="356">
        <v>26.3</v>
      </c>
      <c r="O13" s="187">
        <v>60</v>
      </c>
      <c r="P13" s="318">
        <v>8</v>
      </c>
      <c r="Q13" s="318">
        <v>250</v>
      </c>
      <c r="R13" s="357" t="s">
        <v>276</v>
      </c>
      <c r="S13" s="187">
        <v>20</v>
      </c>
      <c r="T13" s="191">
        <v>400</v>
      </c>
      <c r="U13" s="191">
        <v>631.20000000000005</v>
      </c>
      <c r="V13" s="192">
        <v>0.2884584</v>
      </c>
      <c r="W13" s="191">
        <v>7048.8</v>
      </c>
      <c r="X13" s="358">
        <v>3.2213015999999999</v>
      </c>
    </row>
    <row r="14" spans="1:24" s="352" customFormat="1" ht="18.5" thickBot="1" x14ac:dyDescent="0.6"/>
    <row r="15" spans="1:24" s="352" customFormat="1" x14ac:dyDescent="0.55000000000000004">
      <c r="L15" s="359" t="s">
        <v>403</v>
      </c>
      <c r="M15" s="360"/>
      <c r="N15" s="360"/>
      <c r="O15" s="360"/>
      <c r="P15" s="361"/>
    </row>
    <row r="16" spans="1:24" s="352" customFormat="1" x14ac:dyDescent="0.55000000000000004">
      <c r="L16" s="362" t="s">
        <v>462</v>
      </c>
      <c r="M16" s="363" t="s">
        <v>463</v>
      </c>
      <c r="N16" s="364"/>
      <c r="O16" s="364"/>
      <c r="P16" s="365"/>
    </row>
    <row r="17" spans="1:16" s="352" customFormat="1" x14ac:dyDescent="0.55000000000000004">
      <c r="L17" s="366" t="s">
        <v>404</v>
      </c>
      <c r="M17" s="367"/>
      <c r="N17" s="363"/>
      <c r="O17" s="363"/>
      <c r="P17" s="368"/>
    </row>
    <row r="18" spans="1:16" s="352" customFormat="1" x14ac:dyDescent="0.55000000000000004">
      <c r="L18" s="738" t="s">
        <v>414</v>
      </c>
      <c r="M18" s="739"/>
      <c r="N18" s="19" t="s">
        <v>407</v>
      </c>
      <c r="O18" s="19" t="s">
        <v>408</v>
      </c>
      <c r="P18" s="369" t="s">
        <v>409</v>
      </c>
    </row>
    <row r="19" spans="1:16" s="352" customFormat="1" x14ac:dyDescent="0.55000000000000004">
      <c r="L19" s="738" t="s">
        <v>405</v>
      </c>
      <c r="M19" s="739"/>
      <c r="N19" s="19" t="s">
        <v>457</v>
      </c>
      <c r="O19" s="19" t="s">
        <v>458</v>
      </c>
      <c r="P19" s="369" t="s">
        <v>459</v>
      </c>
    </row>
    <row r="20" spans="1:16" s="352" customFormat="1" ht="18.5" thickBot="1" x14ac:dyDescent="0.6">
      <c r="L20" s="740" t="s">
        <v>406</v>
      </c>
      <c r="M20" s="741"/>
      <c r="N20" s="370" t="s">
        <v>461</v>
      </c>
      <c r="O20" s="370" t="s">
        <v>460</v>
      </c>
      <c r="P20" s="371" t="s">
        <v>460</v>
      </c>
    </row>
    <row r="21" spans="1:16" s="352" customFormat="1" x14ac:dyDescent="0.55000000000000004"/>
    <row r="22" spans="1:16" s="352" customFormat="1" x14ac:dyDescent="0.55000000000000004"/>
    <row r="23" spans="1:16" s="352" customFormat="1" x14ac:dyDescent="0.55000000000000004"/>
    <row r="24" spans="1:16" s="352" customFormat="1" x14ac:dyDescent="0.55000000000000004"/>
    <row r="25" spans="1:16" s="352" customFormat="1" x14ac:dyDescent="0.55000000000000004"/>
    <row r="26" spans="1:16" s="352" customFormat="1" x14ac:dyDescent="0.55000000000000004"/>
    <row r="27" spans="1:16" s="352" customFormat="1" x14ac:dyDescent="0.55000000000000004"/>
    <row r="28" spans="1:16" s="352" customFormat="1" x14ac:dyDescent="0.55000000000000004"/>
    <row r="29" spans="1:16" s="352" customFormat="1" x14ac:dyDescent="0.55000000000000004"/>
    <row r="30" spans="1:16" s="372" customFormat="1" ht="29" x14ac:dyDescent="0.85">
      <c r="A30" s="258" t="s">
        <v>534</v>
      </c>
    </row>
    <row r="31" spans="1:16" s="372" customFormat="1" ht="18" customHeight="1" x14ac:dyDescent="0.85">
      <c r="A31" s="258"/>
    </row>
    <row r="32" spans="1:16" s="372" customFormat="1" ht="18" customHeight="1" x14ac:dyDescent="0.85">
      <c r="A32" s="258"/>
    </row>
    <row r="33" spans="1:26" s="373" customFormat="1" x14ac:dyDescent="0.55000000000000004">
      <c r="A33" s="259"/>
    </row>
    <row r="34" spans="1:26" s="373" customFormat="1" x14ac:dyDescent="0.55000000000000004">
      <c r="A34" s="259"/>
      <c r="B34" s="251" t="s">
        <v>22</v>
      </c>
      <c r="C34" s="251" t="s">
        <v>102</v>
      </c>
      <c r="O34" s="743"/>
      <c r="P34" s="743"/>
      <c r="Q34" s="743"/>
      <c r="R34" s="743"/>
    </row>
    <row r="35" spans="1:26" s="373" customFormat="1" ht="20" x14ac:dyDescent="0.65">
      <c r="A35" s="259"/>
      <c r="B35" s="194" t="s">
        <v>438</v>
      </c>
      <c r="C35" s="374">
        <v>0.4</v>
      </c>
      <c r="O35" s="278"/>
      <c r="P35" s="350"/>
      <c r="Q35" s="350"/>
      <c r="R35" s="279"/>
    </row>
    <row r="36" spans="1:26" s="373" customFormat="1" ht="20" x14ac:dyDescent="0.65">
      <c r="A36" s="259"/>
      <c r="B36" s="194" t="s">
        <v>464</v>
      </c>
      <c r="C36" s="374">
        <v>0.4</v>
      </c>
      <c r="O36" s="280"/>
      <c r="P36" s="281"/>
      <c r="Q36" s="281"/>
      <c r="R36" s="350"/>
    </row>
    <row r="37" spans="1:26" s="373" customFormat="1" x14ac:dyDescent="0.55000000000000004">
      <c r="A37" s="259"/>
      <c r="B37" s="260"/>
      <c r="C37" s="375"/>
    </row>
    <row r="38" spans="1:26" s="372" customFormat="1" x14ac:dyDescent="0.55000000000000004">
      <c r="B38" s="677" t="s">
        <v>22</v>
      </c>
      <c r="C38" s="376" t="s">
        <v>24</v>
      </c>
      <c r="D38" s="377"/>
      <c r="E38" s="377"/>
      <c r="F38" s="377"/>
      <c r="G38" s="377"/>
      <c r="H38" s="378"/>
      <c r="I38" s="378"/>
      <c r="J38" s="378"/>
      <c r="K38" s="378"/>
      <c r="L38" s="378"/>
      <c r="M38" s="378"/>
      <c r="N38" s="214"/>
      <c r="O38" s="379" t="s">
        <v>105</v>
      </c>
      <c r="P38" s="199"/>
      <c r="Q38" s="199"/>
      <c r="R38" s="199"/>
      <c r="S38" s="199"/>
      <c r="T38" s="199"/>
      <c r="U38" s="199"/>
      <c r="V38" s="199"/>
      <c r="W38" s="199"/>
      <c r="X38" s="198" t="s">
        <v>34</v>
      </c>
      <c r="Y38" s="199"/>
      <c r="Z38" s="214"/>
    </row>
    <row r="39" spans="1:26" s="372" customFormat="1" x14ac:dyDescent="0.55000000000000004">
      <c r="B39" s="678"/>
      <c r="C39" s="380"/>
      <c r="D39" s="221"/>
      <c r="E39" s="221"/>
      <c r="F39" s="223"/>
      <c r="G39" s="198" t="s">
        <v>106</v>
      </c>
      <c r="H39" s="196"/>
      <c r="I39" s="199"/>
      <c r="J39" s="198" t="s">
        <v>107</v>
      </c>
      <c r="K39" s="196"/>
      <c r="L39" s="199"/>
      <c r="M39" s="198" t="s">
        <v>108</v>
      </c>
      <c r="N39" s="199"/>
      <c r="O39" s="289"/>
      <c r="P39" s="221"/>
      <c r="Q39" s="198" t="s">
        <v>106</v>
      </c>
      <c r="R39" s="196"/>
      <c r="S39" s="199"/>
      <c r="T39" s="198" t="s">
        <v>107</v>
      </c>
      <c r="U39" s="196"/>
      <c r="V39" s="199"/>
      <c r="W39" s="198" t="s">
        <v>108</v>
      </c>
      <c r="X39" s="199"/>
      <c r="Y39" s="194"/>
      <c r="Z39" s="194"/>
    </row>
    <row r="40" spans="1:26" s="372" customFormat="1" ht="72" x14ac:dyDescent="0.55000000000000004">
      <c r="B40" s="679"/>
      <c r="C40" s="474" t="s">
        <v>35</v>
      </c>
      <c r="D40" s="472" t="s">
        <v>109</v>
      </c>
      <c r="E40" s="472" t="s">
        <v>110</v>
      </c>
      <c r="F40" s="472" t="s">
        <v>503</v>
      </c>
      <c r="G40" s="472" t="s">
        <v>268</v>
      </c>
      <c r="H40" s="472" t="s">
        <v>111</v>
      </c>
      <c r="I40" s="472" t="s">
        <v>112</v>
      </c>
      <c r="J40" s="472" t="s">
        <v>269</v>
      </c>
      <c r="K40" s="472" t="s">
        <v>113</v>
      </c>
      <c r="L40" s="472" t="s">
        <v>114</v>
      </c>
      <c r="M40" s="472" t="s">
        <v>115</v>
      </c>
      <c r="N40" s="472" t="s">
        <v>116</v>
      </c>
      <c r="O40" s="480" t="s">
        <v>35</v>
      </c>
      <c r="P40" s="472" t="s">
        <v>117</v>
      </c>
      <c r="Q40" s="472" t="s">
        <v>268</v>
      </c>
      <c r="R40" s="472" t="s">
        <v>118</v>
      </c>
      <c r="S40" s="472" t="s">
        <v>119</v>
      </c>
      <c r="T40" s="472" t="s">
        <v>269</v>
      </c>
      <c r="U40" s="472" t="s">
        <v>120</v>
      </c>
      <c r="V40" s="472" t="s">
        <v>121</v>
      </c>
      <c r="W40" s="472" t="s">
        <v>122</v>
      </c>
      <c r="X40" s="472" t="s">
        <v>123</v>
      </c>
      <c r="Y40" s="474" t="s">
        <v>45</v>
      </c>
      <c r="Z40" s="474" t="s">
        <v>46</v>
      </c>
    </row>
    <row r="41" spans="1:26" s="372" customFormat="1" x14ac:dyDescent="0.55000000000000004">
      <c r="B41" s="227" t="s">
        <v>23</v>
      </c>
      <c r="C41" s="469"/>
      <c r="D41" s="469"/>
      <c r="E41" s="469" t="s">
        <v>48</v>
      </c>
      <c r="F41" s="469"/>
      <c r="G41" s="469" t="s">
        <v>19</v>
      </c>
      <c r="H41" s="469" t="s">
        <v>124</v>
      </c>
      <c r="I41" s="469" t="s">
        <v>51</v>
      </c>
      <c r="J41" s="469" t="s">
        <v>19</v>
      </c>
      <c r="K41" s="469" t="s">
        <v>124</v>
      </c>
      <c r="L41" s="469" t="s">
        <v>51</v>
      </c>
      <c r="M41" s="469" t="s">
        <v>21</v>
      </c>
      <c r="N41" s="195" t="s">
        <v>9</v>
      </c>
      <c r="O41" s="469"/>
      <c r="P41" s="469" t="s">
        <v>48</v>
      </c>
      <c r="Q41" s="469"/>
      <c r="R41" s="469" t="s">
        <v>124</v>
      </c>
      <c r="S41" s="469" t="s">
        <v>51</v>
      </c>
      <c r="T41" s="469"/>
      <c r="U41" s="469" t="s">
        <v>124</v>
      </c>
      <c r="V41" s="469" t="s">
        <v>51</v>
      </c>
      <c r="W41" s="469" t="s">
        <v>21</v>
      </c>
      <c r="X41" s="195" t="s">
        <v>9</v>
      </c>
      <c r="Y41" s="469" t="s">
        <v>21</v>
      </c>
      <c r="Z41" s="195" t="s">
        <v>9</v>
      </c>
    </row>
    <row r="42" spans="1:26" s="372" customFormat="1" x14ac:dyDescent="0.55000000000000004">
      <c r="B42" s="186" t="s">
        <v>265</v>
      </c>
      <c r="C42" s="270" t="s">
        <v>484</v>
      </c>
      <c r="D42" s="270">
        <v>2008</v>
      </c>
      <c r="E42" s="270">
        <v>2</v>
      </c>
      <c r="F42" s="271">
        <v>1.5</v>
      </c>
      <c r="G42" s="272">
        <v>28</v>
      </c>
      <c r="H42" s="273">
        <v>7.64</v>
      </c>
      <c r="I42" s="274">
        <v>976</v>
      </c>
      <c r="J42" s="275">
        <v>31.5</v>
      </c>
      <c r="K42" s="273">
        <v>8.59</v>
      </c>
      <c r="L42" s="274">
        <v>1448</v>
      </c>
      <c r="M42" s="276">
        <v>23873.951999999997</v>
      </c>
      <c r="N42" s="277">
        <v>10.910396063999999</v>
      </c>
      <c r="O42" s="270" t="s">
        <v>485</v>
      </c>
      <c r="P42" s="270">
        <v>2</v>
      </c>
      <c r="Q42" s="272">
        <v>28</v>
      </c>
      <c r="R42" s="273">
        <v>8.48</v>
      </c>
      <c r="S42" s="276">
        <v>976</v>
      </c>
      <c r="T42" s="275">
        <v>31.5</v>
      </c>
      <c r="U42" s="273">
        <v>7.7</v>
      </c>
      <c r="V42" s="276">
        <v>1448</v>
      </c>
      <c r="W42" s="276">
        <v>15540.864000000001</v>
      </c>
      <c r="X42" s="277">
        <v>7.1021748480000007</v>
      </c>
      <c r="Y42" s="276">
        <v>8333.0879999999961</v>
      </c>
      <c r="Z42" s="277">
        <v>3.808221215999998</v>
      </c>
    </row>
    <row r="43" spans="1:26" s="372" customFormat="1" ht="18.5" thickBot="1" x14ac:dyDescent="0.6"/>
    <row r="44" spans="1:26" s="372" customFormat="1" x14ac:dyDescent="0.55000000000000004">
      <c r="O44" s="359" t="s">
        <v>403</v>
      </c>
      <c r="P44" s="360"/>
      <c r="Q44" s="360"/>
      <c r="R44" s="360"/>
      <c r="S44" s="360"/>
      <c r="T44" s="361"/>
    </row>
    <row r="45" spans="1:26" s="372" customFormat="1" x14ac:dyDescent="0.55000000000000004">
      <c r="O45" s="381" t="s">
        <v>416</v>
      </c>
      <c r="P45" s="363"/>
      <c r="Q45" s="382"/>
      <c r="R45" s="364" t="s">
        <v>429</v>
      </c>
      <c r="S45" s="364"/>
      <c r="T45" s="365"/>
    </row>
    <row r="46" spans="1:26" s="372" customFormat="1" x14ac:dyDescent="0.55000000000000004">
      <c r="O46" s="736" t="s">
        <v>417</v>
      </c>
      <c r="P46" s="737"/>
      <c r="Q46" s="382"/>
      <c r="R46" s="383" t="s">
        <v>424</v>
      </c>
      <c r="S46" s="363"/>
      <c r="T46" s="368"/>
    </row>
    <row r="47" spans="1:26" s="372" customFormat="1" x14ac:dyDescent="0.55000000000000004">
      <c r="O47" s="738" t="s">
        <v>418</v>
      </c>
      <c r="P47" s="742"/>
      <c r="Q47" s="382"/>
      <c r="R47" s="384">
        <v>28</v>
      </c>
      <c r="S47" s="385"/>
      <c r="T47" s="386"/>
    </row>
    <row r="48" spans="1:26" s="372" customFormat="1" x14ac:dyDescent="0.55000000000000004">
      <c r="O48" s="738" t="s">
        <v>419</v>
      </c>
      <c r="P48" s="742"/>
      <c r="Q48" s="382"/>
      <c r="R48" s="387">
        <v>8.48</v>
      </c>
      <c r="S48" s="385"/>
      <c r="T48" s="386"/>
    </row>
    <row r="49" spans="1:20" s="372" customFormat="1" x14ac:dyDescent="0.55000000000000004">
      <c r="O49" s="738" t="s">
        <v>420</v>
      </c>
      <c r="P49" s="742"/>
      <c r="Q49" s="382"/>
      <c r="R49" s="384">
        <v>31.5</v>
      </c>
      <c r="S49" s="385"/>
      <c r="T49" s="386"/>
    </row>
    <row r="50" spans="1:20" s="372" customFormat="1" x14ac:dyDescent="0.55000000000000004">
      <c r="O50" s="362" t="s">
        <v>421</v>
      </c>
      <c r="P50" s="36"/>
      <c r="Q50" s="36"/>
      <c r="R50" s="387">
        <v>7.7</v>
      </c>
      <c r="S50" s="363"/>
      <c r="T50" s="368"/>
    </row>
    <row r="51" spans="1:20" s="372" customFormat="1" x14ac:dyDescent="0.55000000000000004">
      <c r="O51" s="362" t="s">
        <v>422</v>
      </c>
      <c r="P51" s="36"/>
      <c r="Q51" s="36"/>
      <c r="R51" s="384">
        <v>23.8</v>
      </c>
      <c r="S51" s="363"/>
      <c r="T51" s="368"/>
    </row>
    <row r="52" spans="1:20" s="372" customFormat="1" ht="18.5" thickBot="1" x14ac:dyDescent="0.6">
      <c r="O52" s="388" t="s">
        <v>423</v>
      </c>
      <c r="P52" s="389"/>
      <c r="Q52" s="389"/>
      <c r="R52" s="390">
        <v>13.7</v>
      </c>
      <c r="S52" s="391"/>
      <c r="T52" s="392"/>
    </row>
    <row r="53" spans="1:20" s="372" customFormat="1" x14ac:dyDescent="0.55000000000000004"/>
    <row r="54" spans="1:20" s="372" customFormat="1" x14ac:dyDescent="0.55000000000000004"/>
    <row r="55" spans="1:20" s="372" customFormat="1" x14ac:dyDescent="0.55000000000000004"/>
    <row r="56" spans="1:20" s="372" customFormat="1" x14ac:dyDescent="0.55000000000000004"/>
    <row r="57" spans="1:20" s="372" customFormat="1" x14ac:dyDescent="0.55000000000000004"/>
    <row r="58" spans="1:20" s="372" customFormat="1" x14ac:dyDescent="0.55000000000000004"/>
    <row r="59" spans="1:20" s="393" customFormat="1" ht="29" x14ac:dyDescent="0.85">
      <c r="A59" s="282" t="s">
        <v>535</v>
      </c>
    </row>
    <row r="60" spans="1:20" s="393" customFormat="1" ht="29" x14ac:dyDescent="0.85">
      <c r="A60" s="282"/>
    </row>
    <row r="61" spans="1:20" s="393" customFormat="1" ht="19.25" customHeight="1" x14ac:dyDescent="0.85">
      <c r="A61" s="282"/>
      <c r="D61" s="197" t="s">
        <v>133</v>
      </c>
      <c r="E61" s="197" t="s">
        <v>134</v>
      </c>
    </row>
    <row r="62" spans="1:20" s="393" customFormat="1" x14ac:dyDescent="0.55000000000000004">
      <c r="D62" s="46" t="s">
        <v>521</v>
      </c>
      <c r="E62" s="38" t="s">
        <v>522</v>
      </c>
    </row>
    <row r="63" spans="1:20" s="393" customFormat="1" x14ac:dyDescent="0.55000000000000004"/>
    <row r="64" spans="1:20" s="393" customFormat="1" x14ac:dyDescent="0.55000000000000004"/>
    <row r="65" spans="2:33" s="393" customFormat="1" x14ac:dyDescent="0.55000000000000004">
      <c r="B65" s="251"/>
      <c r="C65" s="251" t="s">
        <v>102</v>
      </c>
    </row>
    <row r="66" spans="2:33" s="393" customFormat="1" ht="20" x14ac:dyDescent="0.65">
      <c r="B66" s="194" t="s">
        <v>438</v>
      </c>
      <c r="C66" s="374">
        <v>0.4</v>
      </c>
    </row>
    <row r="67" spans="2:33" s="393" customFormat="1" ht="20" x14ac:dyDescent="0.65">
      <c r="B67" s="194" t="s">
        <v>464</v>
      </c>
      <c r="C67" s="374">
        <v>0.4</v>
      </c>
    </row>
    <row r="68" spans="2:33" s="393" customFormat="1" x14ac:dyDescent="0.55000000000000004"/>
    <row r="69" spans="2:33" s="393" customFormat="1" x14ac:dyDescent="0.55000000000000004">
      <c r="B69" s="677" t="s">
        <v>22</v>
      </c>
      <c r="C69" s="394" t="s">
        <v>24</v>
      </c>
      <c r="D69" s="378"/>
      <c r="E69" s="378"/>
      <c r="F69" s="378"/>
      <c r="G69" s="378"/>
      <c r="H69" s="378"/>
      <c r="I69" s="378"/>
      <c r="J69" s="378"/>
      <c r="K69" s="378"/>
      <c r="L69" s="378"/>
      <c r="M69" s="378"/>
      <c r="N69" s="378"/>
      <c r="O69" s="378"/>
      <c r="P69" s="378"/>
      <c r="Q69" s="214"/>
      <c r="R69" s="395" t="s">
        <v>105</v>
      </c>
      <c r="S69" s="199"/>
      <c r="T69" s="199"/>
      <c r="U69" s="378"/>
      <c r="V69" s="199"/>
      <c r="W69" s="199"/>
      <c r="X69" s="199"/>
      <c r="Y69" s="378"/>
      <c r="Z69" s="199"/>
      <c r="AA69" s="199"/>
      <c r="AB69" s="378"/>
      <c r="AC69" s="199"/>
      <c r="AD69" s="198" t="s">
        <v>34</v>
      </c>
      <c r="AE69" s="199"/>
      <c r="AF69" s="199"/>
      <c r="AG69" s="214"/>
    </row>
    <row r="70" spans="2:33" s="393" customFormat="1" x14ac:dyDescent="0.55000000000000004">
      <c r="B70" s="678"/>
      <c r="C70" s="380"/>
      <c r="D70" s="221"/>
      <c r="E70" s="288"/>
      <c r="F70" s="214"/>
      <c r="G70" s="198" t="s">
        <v>106</v>
      </c>
      <c r="H70" s="196"/>
      <c r="I70" s="199"/>
      <c r="J70" s="199"/>
      <c r="K70" s="198" t="s">
        <v>107</v>
      </c>
      <c r="L70" s="196"/>
      <c r="M70" s="199"/>
      <c r="N70" s="199"/>
      <c r="O70" s="198" t="s">
        <v>108</v>
      </c>
      <c r="P70" s="199"/>
      <c r="Q70" s="200"/>
      <c r="R70" s="289"/>
      <c r="S70" s="221"/>
      <c r="T70" s="221"/>
      <c r="U70" s="198" t="s">
        <v>106</v>
      </c>
      <c r="V70" s="199"/>
      <c r="W70" s="199"/>
      <c r="X70" s="198" t="s">
        <v>107</v>
      </c>
      <c r="Y70" s="196"/>
      <c r="Z70" s="199"/>
      <c r="AA70" s="199"/>
      <c r="AB70" s="198" t="s">
        <v>108</v>
      </c>
      <c r="AC70" s="199"/>
      <c r="AD70" s="199"/>
      <c r="AE70" s="194"/>
      <c r="AF70" s="194"/>
      <c r="AG70" s="194"/>
    </row>
    <row r="71" spans="2:33" s="393" customFormat="1" ht="56" x14ac:dyDescent="0.55000000000000004">
      <c r="B71" s="679"/>
      <c r="C71" s="472" t="s">
        <v>35</v>
      </c>
      <c r="D71" s="472" t="s">
        <v>109</v>
      </c>
      <c r="E71" s="472" t="s">
        <v>110</v>
      </c>
      <c r="F71" s="472" t="s">
        <v>502</v>
      </c>
      <c r="G71" s="472" t="s">
        <v>268</v>
      </c>
      <c r="H71" s="472" t="s">
        <v>111</v>
      </c>
      <c r="I71" s="472" t="s">
        <v>138</v>
      </c>
      <c r="J71" s="472" t="s">
        <v>112</v>
      </c>
      <c r="K71" s="472" t="s">
        <v>269</v>
      </c>
      <c r="L71" s="472" t="s">
        <v>113</v>
      </c>
      <c r="M71" s="472" t="s">
        <v>139</v>
      </c>
      <c r="N71" s="472" t="s">
        <v>114</v>
      </c>
      <c r="O71" s="472" t="s">
        <v>115</v>
      </c>
      <c r="P71" s="472" t="s">
        <v>140</v>
      </c>
      <c r="Q71" s="472" t="s">
        <v>116</v>
      </c>
      <c r="R71" s="472" t="s">
        <v>35</v>
      </c>
      <c r="S71" s="472" t="s">
        <v>117</v>
      </c>
      <c r="T71" s="472" t="s">
        <v>268</v>
      </c>
      <c r="U71" s="472" t="s">
        <v>118</v>
      </c>
      <c r="V71" s="472" t="s">
        <v>141</v>
      </c>
      <c r="W71" s="472" t="s">
        <v>119</v>
      </c>
      <c r="X71" s="472" t="s">
        <v>269</v>
      </c>
      <c r="Y71" s="472" t="s">
        <v>120</v>
      </c>
      <c r="Z71" s="472" t="s">
        <v>142</v>
      </c>
      <c r="AA71" s="472" t="s">
        <v>121</v>
      </c>
      <c r="AB71" s="472" t="s">
        <v>122</v>
      </c>
      <c r="AC71" s="472" t="s">
        <v>143</v>
      </c>
      <c r="AD71" s="472" t="s">
        <v>144</v>
      </c>
      <c r="AE71" s="474" t="s">
        <v>45</v>
      </c>
      <c r="AF71" s="472" t="s">
        <v>145</v>
      </c>
      <c r="AG71" s="474" t="s">
        <v>46</v>
      </c>
    </row>
    <row r="72" spans="2:33" s="393" customFormat="1" x14ac:dyDescent="0.55000000000000004">
      <c r="B72" s="227" t="s">
        <v>23</v>
      </c>
      <c r="C72" s="469"/>
      <c r="D72" s="469"/>
      <c r="E72" s="469" t="s">
        <v>48</v>
      </c>
      <c r="F72" s="469"/>
      <c r="G72" s="469" t="s">
        <v>124</v>
      </c>
      <c r="H72" s="469" t="s">
        <v>124</v>
      </c>
      <c r="I72" s="469" t="s">
        <v>124</v>
      </c>
      <c r="J72" s="469" t="s">
        <v>51</v>
      </c>
      <c r="K72" s="469" t="s">
        <v>124</v>
      </c>
      <c r="L72" s="469" t="s">
        <v>124</v>
      </c>
      <c r="M72" s="469" t="s">
        <v>124</v>
      </c>
      <c r="N72" s="469" t="s">
        <v>51</v>
      </c>
      <c r="O72" s="469" t="s">
        <v>21</v>
      </c>
      <c r="P72" s="469" t="s">
        <v>130</v>
      </c>
      <c r="Q72" s="195" t="s">
        <v>9</v>
      </c>
      <c r="R72" s="469"/>
      <c r="S72" s="469" t="s">
        <v>48</v>
      </c>
      <c r="T72" s="469" t="s">
        <v>124</v>
      </c>
      <c r="U72" s="469" t="s">
        <v>124</v>
      </c>
      <c r="V72" s="469" t="s">
        <v>124</v>
      </c>
      <c r="W72" s="469" t="s">
        <v>51</v>
      </c>
      <c r="X72" s="469" t="s">
        <v>124</v>
      </c>
      <c r="Y72" s="469" t="s">
        <v>124</v>
      </c>
      <c r="Z72" s="469" t="s">
        <v>124</v>
      </c>
      <c r="AA72" s="469" t="s">
        <v>51</v>
      </c>
      <c r="AB72" s="469" t="s">
        <v>21</v>
      </c>
      <c r="AC72" s="469" t="s">
        <v>130</v>
      </c>
      <c r="AD72" s="195" t="s">
        <v>9</v>
      </c>
      <c r="AE72" s="469" t="s">
        <v>21</v>
      </c>
      <c r="AF72" s="469" t="s">
        <v>146</v>
      </c>
      <c r="AG72" s="195" t="s">
        <v>9</v>
      </c>
    </row>
    <row r="73" spans="2:33" s="393" customFormat="1" x14ac:dyDescent="0.55000000000000004">
      <c r="B73" s="186" t="s">
        <v>265</v>
      </c>
      <c r="C73" s="261" t="s">
        <v>465</v>
      </c>
      <c r="D73" s="261">
        <v>2006</v>
      </c>
      <c r="E73" s="187">
        <v>2</v>
      </c>
      <c r="F73" s="188">
        <v>1.5</v>
      </c>
      <c r="G73" s="262">
        <v>22.4</v>
      </c>
      <c r="H73" s="263">
        <v>0.82</v>
      </c>
      <c r="I73" s="263">
        <v>16</v>
      </c>
      <c r="J73" s="190">
        <v>1220</v>
      </c>
      <c r="K73" s="264">
        <v>25</v>
      </c>
      <c r="L73" s="263">
        <v>0.86</v>
      </c>
      <c r="M73" s="263">
        <v>16.3</v>
      </c>
      <c r="N73" s="190">
        <v>1810</v>
      </c>
      <c r="O73" s="191">
        <v>3068.3999999999996</v>
      </c>
      <c r="P73" s="265">
        <v>4599.2487272727276</v>
      </c>
      <c r="Q73" s="192">
        <v>11.722972944000002</v>
      </c>
      <c r="R73" s="314" t="s">
        <v>486</v>
      </c>
      <c r="S73" s="187">
        <v>2</v>
      </c>
      <c r="T73" s="262">
        <v>22.4</v>
      </c>
      <c r="U73" s="266">
        <v>0.378</v>
      </c>
      <c r="V73" s="263">
        <v>19.100000000000001</v>
      </c>
      <c r="W73" s="191">
        <v>1220</v>
      </c>
      <c r="X73" s="264">
        <v>25</v>
      </c>
      <c r="Y73" s="266">
        <v>0.46600000000000003</v>
      </c>
      <c r="Z73" s="263">
        <v>18.600000000000001</v>
      </c>
      <c r="AA73" s="191">
        <v>1810</v>
      </c>
      <c r="AB73" s="191">
        <v>1043.6960000000001</v>
      </c>
      <c r="AC73" s="267">
        <v>3563.0894545454553</v>
      </c>
      <c r="AD73" s="192">
        <v>8.4725418080000026</v>
      </c>
      <c r="AE73" s="268">
        <v>2024.7039999999995</v>
      </c>
      <c r="AF73" s="269">
        <v>1036.1592727272723</v>
      </c>
      <c r="AG73" s="240">
        <v>3.2504311359999996</v>
      </c>
    </row>
    <row r="74" spans="2:33" s="393" customFormat="1" ht="18.5" thickBot="1" x14ac:dyDescent="0.6"/>
    <row r="75" spans="2:33" s="393" customFormat="1" x14ac:dyDescent="0.55000000000000004">
      <c r="R75" s="359" t="s">
        <v>403</v>
      </c>
      <c r="S75" s="360"/>
      <c r="T75" s="360"/>
      <c r="U75" s="360"/>
      <c r="V75" s="360"/>
      <c r="W75" s="361"/>
    </row>
    <row r="76" spans="2:33" s="393" customFormat="1" x14ac:dyDescent="0.55000000000000004">
      <c r="R76" s="381" t="s">
        <v>416</v>
      </c>
      <c r="S76" s="363"/>
      <c r="T76" s="382"/>
      <c r="U76" s="364" t="s">
        <v>466</v>
      </c>
      <c r="V76" s="364"/>
      <c r="W76" s="365"/>
    </row>
    <row r="77" spans="2:33" s="393" customFormat="1" x14ac:dyDescent="0.55000000000000004">
      <c r="R77" s="736" t="s">
        <v>417</v>
      </c>
      <c r="S77" s="737"/>
      <c r="T77" s="382"/>
      <c r="U77" s="383" t="s">
        <v>467</v>
      </c>
      <c r="V77" s="363"/>
      <c r="W77" s="368"/>
    </row>
    <row r="78" spans="2:33" s="393" customFormat="1" x14ac:dyDescent="0.55000000000000004">
      <c r="R78" s="748" t="s">
        <v>468</v>
      </c>
      <c r="S78" s="364" t="s">
        <v>469</v>
      </c>
      <c r="T78" s="382"/>
      <c r="U78" s="384">
        <v>22.4</v>
      </c>
      <c r="V78" s="385"/>
      <c r="W78" s="386"/>
    </row>
    <row r="79" spans="2:33" s="393" customFormat="1" x14ac:dyDescent="0.55000000000000004">
      <c r="R79" s="748"/>
      <c r="S79" s="364" t="s">
        <v>470</v>
      </c>
      <c r="T79" s="382"/>
      <c r="U79" s="396">
        <v>0.378</v>
      </c>
      <c r="V79" s="385"/>
      <c r="W79" s="386"/>
    </row>
    <row r="80" spans="2:33" s="393" customFormat="1" x14ac:dyDescent="0.55000000000000004">
      <c r="R80" s="748"/>
      <c r="S80" s="364" t="s">
        <v>471</v>
      </c>
      <c r="T80" s="382"/>
      <c r="U80" s="384">
        <v>19.100000000000001</v>
      </c>
      <c r="V80" s="385"/>
      <c r="W80" s="386"/>
    </row>
    <row r="81" spans="1:23" s="393" customFormat="1" x14ac:dyDescent="0.55000000000000004">
      <c r="R81" s="748" t="s">
        <v>472</v>
      </c>
      <c r="S81" s="364" t="s">
        <v>469</v>
      </c>
      <c r="T81" s="382"/>
      <c r="U81" s="384">
        <v>12.3</v>
      </c>
      <c r="V81" s="385"/>
      <c r="W81" s="386"/>
    </row>
    <row r="82" spans="1:23" s="393" customFormat="1" x14ac:dyDescent="0.55000000000000004">
      <c r="R82" s="748"/>
      <c r="S82" s="364" t="s">
        <v>470</v>
      </c>
      <c r="T82" s="382"/>
      <c r="U82" s="396">
        <v>0.32800000000000001</v>
      </c>
      <c r="V82" s="385"/>
      <c r="W82" s="386"/>
    </row>
    <row r="83" spans="1:23" s="393" customFormat="1" x14ac:dyDescent="0.55000000000000004">
      <c r="R83" s="748"/>
      <c r="S83" s="364" t="s">
        <v>471</v>
      </c>
      <c r="T83" s="382"/>
      <c r="U83" s="384">
        <v>9.5</v>
      </c>
      <c r="V83" s="385"/>
      <c r="W83" s="386"/>
    </row>
    <row r="84" spans="1:23" s="393" customFormat="1" x14ac:dyDescent="0.55000000000000004">
      <c r="R84" s="748" t="s">
        <v>473</v>
      </c>
      <c r="S84" s="364" t="s">
        <v>469</v>
      </c>
      <c r="T84" s="382"/>
      <c r="U84" s="384">
        <v>25</v>
      </c>
      <c r="V84" s="385"/>
      <c r="W84" s="386"/>
    </row>
    <row r="85" spans="1:23" s="393" customFormat="1" x14ac:dyDescent="0.55000000000000004">
      <c r="R85" s="748"/>
      <c r="S85" s="364" t="s">
        <v>470</v>
      </c>
      <c r="T85" s="382"/>
      <c r="U85" s="396">
        <v>0.46600000000000003</v>
      </c>
      <c r="V85" s="385"/>
      <c r="W85" s="386"/>
    </row>
    <row r="86" spans="1:23" s="393" customFormat="1" x14ac:dyDescent="0.55000000000000004">
      <c r="R86" s="748"/>
      <c r="S86" s="364" t="s">
        <v>471</v>
      </c>
      <c r="T86" s="382"/>
      <c r="U86" s="384">
        <v>18.600000000000001</v>
      </c>
      <c r="V86" s="385"/>
      <c r="W86" s="386"/>
    </row>
    <row r="87" spans="1:23" s="393" customFormat="1" x14ac:dyDescent="0.55000000000000004">
      <c r="R87" s="748" t="s">
        <v>474</v>
      </c>
      <c r="S87" s="364" t="s">
        <v>469</v>
      </c>
      <c r="T87" s="382"/>
      <c r="U87" s="384">
        <v>13.7</v>
      </c>
      <c r="V87" s="385"/>
      <c r="W87" s="386"/>
    </row>
    <row r="88" spans="1:23" s="393" customFormat="1" x14ac:dyDescent="0.55000000000000004">
      <c r="R88" s="748"/>
      <c r="S88" s="364" t="s">
        <v>470</v>
      </c>
      <c r="T88" s="382"/>
      <c r="U88" s="396">
        <v>0.221</v>
      </c>
      <c r="V88" s="385"/>
      <c r="W88" s="386"/>
    </row>
    <row r="89" spans="1:23" s="393" customFormat="1" x14ac:dyDescent="0.55000000000000004">
      <c r="R89" s="748"/>
      <c r="S89" s="364" t="s">
        <v>471</v>
      </c>
      <c r="T89" s="382"/>
      <c r="U89" s="384">
        <v>7.2</v>
      </c>
      <c r="V89" s="385"/>
      <c r="W89" s="386"/>
    </row>
    <row r="90" spans="1:23" s="393" customFormat="1" x14ac:dyDescent="0.55000000000000004">
      <c r="R90" s="748" t="s">
        <v>475</v>
      </c>
      <c r="S90" s="364" t="s">
        <v>469</v>
      </c>
      <c r="T90" s="382"/>
      <c r="U90" s="384">
        <v>25</v>
      </c>
      <c r="V90" s="385"/>
      <c r="W90" s="386"/>
    </row>
    <row r="91" spans="1:23" s="393" customFormat="1" x14ac:dyDescent="0.55000000000000004">
      <c r="R91" s="748"/>
      <c r="S91" s="364" t="s">
        <v>470</v>
      </c>
      <c r="T91" s="382"/>
      <c r="U91" s="396">
        <v>0.496</v>
      </c>
      <c r="V91" s="385"/>
      <c r="W91" s="386"/>
    </row>
    <row r="92" spans="1:23" s="393" customFormat="1" x14ac:dyDescent="0.55000000000000004">
      <c r="R92" s="748"/>
      <c r="S92" s="364" t="s">
        <v>471</v>
      </c>
      <c r="T92" s="382"/>
      <c r="U92" s="384">
        <v>27</v>
      </c>
      <c r="V92" s="385"/>
      <c r="W92" s="386"/>
    </row>
    <row r="93" spans="1:23" s="393" customFormat="1" x14ac:dyDescent="0.55000000000000004"/>
    <row r="94" spans="1:23" s="397" customFormat="1" ht="29" x14ac:dyDescent="0.85">
      <c r="A94" s="315" t="s">
        <v>536</v>
      </c>
    </row>
    <row r="95" spans="1:23" s="397" customFormat="1" ht="18.649999999999999" customHeight="1" x14ac:dyDescent="0.85">
      <c r="A95" s="315"/>
    </row>
    <row r="96" spans="1:23" s="397" customFormat="1" ht="18.649999999999999" customHeight="1" x14ac:dyDescent="0.85">
      <c r="A96" s="315"/>
    </row>
    <row r="97" spans="1:42" s="397" customFormat="1" ht="18.649999999999999" customHeight="1" x14ac:dyDescent="0.85">
      <c r="A97" s="315"/>
    </row>
    <row r="98" spans="1:42" s="397" customFormat="1" ht="18.649999999999999" customHeight="1" x14ac:dyDescent="0.85">
      <c r="A98" s="315"/>
    </row>
    <row r="99" spans="1:42" s="397" customFormat="1" ht="18.649999999999999" customHeight="1" thickBot="1" x14ac:dyDescent="0.9">
      <c r="A99" s="315"/>
    </row>
    <row r="100" spans="1:42" s="397" customFormat="1" ht="18.649999999999999" customHeight="1" x14ac:dyDescent="0.85">
      <c r="A100" s="315"/>
      <c r="X100" s="359" t="s">
        <v>403</v>
      </c>
      <c r="Y100" s="360"/>
      <c r="Z100" s="360"/>
      <c r="AA100" s="360"/>
      <c r="AB100" s="360"/>
      <c r="AC100" s="361"/>
    </row>
    <row r="101" spans="1:42" s="397" customFormat="1" ht="18.649999999999999" customHeight="1" x14ac:dyDescent="0.85">
      <c r="A101" s="315"/>
      <c r="X101" s="381" t="s">
        <v>416</v>
      </c>
      <c r="Y101" s="363"/>
      <c r="Z101" s="382"/>
      <c r="AA101" s="364" t="s">
        <v>509</v>
      </c>
      <c r="AB101" s="364"/>
      <c r="AC101" s="365"/>
    </row>
    <row r="102" spans="1:42" s="397" customFormat="1" ht="18.649999999999999" customHeight="1" x14ac:dyDescent="0.85">
      <c r="A102" s="315"/>
      <c r="X102" s="733" t="s">
        <v>508</v>
      </c>
      <c r="Y102" s="398" t="s">
        <v>510</v>
      </c>
      <c r="Z102" s="399"/>
      <c r="AA102" s="382"/>
      <c r="AB102" s="400" t="s">
        <v>515</v>
      </c>
      <c r="AC102" s="401"/>
      <c r="AE102" s="402" t="s">
        <v>518</v>
      </c>
      <c r="AF102" s="403"/>
    </row>
    <row r="103" spans="1:42" s="397" customFormat="1" ht="18.649999999999999" customHeight="1" x14ac:dyDescent="0.85">
      <c r="A103" s="315"/>
      <c r="X103" s="734"/>
      <c r="Y103" s="364" t="s">
        <v>511</v>
      </c>
      <c r="Z103" s="363"/>
      <c r="AA103" s="404"/>
      <c r="AB103" s="405" t="s">
        <v>516</v>
      </c>
      <c r="AC103" s="406"/>
      <c r="AE103" s="407" t="s">
        <v>519</v>
      </c>
      <c r="AF103" s="408"/>
    </row>
    <row r="104" spans="1:42" s="397" customFormat="1" ht="18.649999999999999" customHeight="1" x14ac:dyDescent="0.85">
      <c r="A104" s="315"/>
      <c r="X104" s="734"/>
      <c r="Y104" s="364" t="s">
        <v>512</v>
      </c>
      <c r="Z104" s="363"/>
      <c r="AA104" s="409"/>
      <c r="AB104" s="405" t="s">
        <v>514</v>
      </c>
      <c r="AC104" s="406"/>
    </row>
    <row r="105" spans="1:42" s="397" customFormat="1" ht="18.649999999999999" customHeight="1" x14ac:dyDescent="0.85">
      <c r="A105" s="315"/>
      <c r="X105" s="735"/>
      <c r="Y105" s="364" t="s">
        <v>513</v>
      </c>
      <c r="Z105" s="363"/>
      <c r="AA105" s="404"/>
      <c r="AB105" s="400" t="s">
        <v>517</v>
      </c>
      <c r="AC105" s="406"/>
    </row>
    <row r="106" spans="1:42" s="397" customFormat="1" ht="18.649999999999999" customHeight="1" x14ac:dyDescent="0.85">
      <c r="A106" s="315"/>
    </row>
    <row r="107" spans="1:42" s="397" customFormat="1" x14ac:dyDescent="0.55000000000000004">
      <c r="B107" s="693" t="s">
        <v>22</v>
      </c>
      <c r="C107" s="289" t="s">
        <v>24</v>
      </c>
      <c r="D107" s="288"/>
      <c r="E107" s="288"/>
      <c r="F107" s="288"/>
      <c r="G107" s="288"/>
      <c r="H107" s="288"/>
      <c r="I107" s="288"/>
      <c r="J107" s="288"/>
      <c r="K107" s="288"/>
      <c r="L107" s="288"/>
      <c r="M107" s="288"/>
      <c r="N107" s="288"/>
      <c r="O107" s="288"/>
      <c r="P107" s="288"/>
      <c r="Q107" s="288"/>
      <c r="R107" s="288"/>
      <c r="S107" s="288"/>
      <c r="T107" s="288"/>
      <c r="U107" s="288"/>
      <c r="V107" s="288"/>
      <c r="W107" s="288"/>
      <c r="X107" s="214"/>
      <c r="Y107" s="289" t="s">
        <v>25</v>
      </c>
      <c r="Z107" s="288"/>
      <c r="AA107" s="288"/>
      <c r="AB107" s="288"/>
      <c r="AC107" s="288"/>
      <c r="AD107" s="288"/>
      <c r="AE107" s="288"/>
      <c r="AF107" s="288"/>
      <c r="AG107" s="288"/>
      <c r="AH107" s="288"/>
      <c r="AI107" s="288"/>
      <c r="AJ107" s="288"/>
      <c r="AK107" s="288"/>
      <c r="AL107" s="288"/>
      <c r="AM107" s="288"/>
      <c r="AN107" s="214"/>
      <c r="AO107" s="289" t="s">
        <v>34</v>
      </c>
      <c r="AP107" s="214"/>
    </row>
    <row r="108" spans="1:42" s="397" customFormat="1" ht="66" x14ac:dyDescent="0.55000000000000004">
      <c r="B108" s="694"/>
      <c r="C108" s="472" t="s">
        <v>279</v>
      </c>
      <c r="D108" s="472" t="s">
        <v>504</v>
      </c>
      <c r="E108" s="472" t="s">
        <v>501</v>
      </c>
      <c r="F108" s="472" t="s">
        <v>37</v>
      </c>
      <c r="G108" s="197" t="s">
        <v>133</v>
      </c>
      <c r="H108" s="197" t="s">
        <v>152</v>
      </c>
      <c r="I108" s="330" t="s">
        <v>506</v>
      </c>
      <c r="J108" s="290" t="s">
        <v>507</v>
      </c>
      <c r="K108" s="290" t="s">
        <v>412</v>
      </c>
      <c r="L108" s="290" t="s">
        <v>411</v>
      </c>
      <c r="M108" s="472" t="s">
        <v>154</v>
      </c>
      <c r="N108" s="472" t="s">
        <v>278</v>
      </c>
      <c r="O108" s="472" t="s">
        <v>152</v>
      </c>
      <c r="P108" s="472" t="s">
        <v>897</v>
      </c>
      <c r="Q108" s="472" t="s">
        <v>42</v>
      </c>
      <c r="R108" s="472" t="s">
        <v>898</v>
      </c>
      <c r="S108" s="475" t="s">
        <v>102</v>
      </c>
      <c r="T108" s="472" t="s">
        <v>156</v>
      </c>
      <c r="U108" s="472" t="s">
        <v>157</v>
      </c>
      <c r="V108" s="472" t="s">
        <v>158</v>
      </c>
      <c r="W108" s="472" t="s">
        <v>3</v>
      </c>
      <c r="X108" s="472" t="s">
        <v>159</v>
      </c>
      <c r="Y108" s="472" t="s">
        <v>279</v>
      </c>
      <c r="Z108" s="472" t="s">
        <v>41</v>
      </c>
      <c r="AA108" s="197" t="s">
        <v>133</v>
      </c>
      <c r="AB108" s="290" t="s">
        <v>412</v>
      </c>
      <c r="AC108" s="290" t="s">
        <v>411</v>
      </c>
      <c r="AD108" s="472" t="s">
        <v>154</v>
      </c>
      <c r="AE108" s="472" t="s">
        <v>160</v>
      </c>
      <c r="AF108" s="472" t="s">
        <v>152</v>
      </c>
      <c r="AG108" s="472" t="s">
        <v>897</v>
      </c>
      <c r="AH108" s="472" t="s">
        <v>42</v>
      </c>
      <c r="AI108" s="472" t="s">
        <v>899</v>
      </c>
      <c r="AJ108" s="475" t="s">
        <v>102</v>
      </c>
      <c r="AK108" s="472" t="s">
        <v>161</v>
      </c>
      <c r="AL108" s="472" t="s">
        <v>44</v>
      </c>
      <c r="AM108" s="472" t="s">
        <v>3</v>
      </c>
      <c r="AN108" s="472" t="s">
        <v>159</v>
      </c>
      <c r="AO108" s="472" t="s">
        <v>162</v>
      </c>
      <c r="AP108" s="472" t="s">
        <v>3</v>
      </c>
    </row>
    <row r="109" spans="1:42" s="397" customFormat="1" x14ac:dyDescent="0.55000000000000004">
      <c r="B109" s="194" t="s">
        <v>23</v>
      </c>
      <c r="C109" s="469"/>
      <c r="D109" s="469"/>
      <c r="E109" s="469"/>
      <c r="F109" s="469" t="s">
        <v>48</v>
      </c>
      <c r="G109" s="469"/>
      <c r="H109" s="469"/>
      <c r="I109" s="483"/>
      <c r="J109" s="483"/>
      <c r="K109" s="483"/>
      <c r="L109" s="484"/>
      <c r="M109" s="469" t="s">
        <v>163</v>
      </c>
      <c r="N109" s="469" t="str">
        <f>"/(台・h)"</f>
        <v>/(台・h)</v>
      </c>
      <c r="O109" s="469"/>
      <c r="P109" s="469" t="s">
        <v>49</v>
      </c>
      <c r="Q109" s="469" t="s">
        <v>50</v>
      </c>
      <c r="R109" s="469" t="s">
        <v>51</v>
      </c>
      <c r="S109" s="469" t="s">
        <v>483</v>
      </c>
      <c r="T109" s="469" t="s">
        <v>164</v>
      </c>
      <c r="U109" s="469" t="str">
        <f>"/年"</f>
        <v>/年</v>
      </c>
      <c r="V109" s="195" t="s">
        <v>9</v>
      </c>
      <c r="W109" s="195" t="s">
        <v>165</v>
      </c>
      <c r="X109" s="469" t="s">
        <v>32</v>
      </c>
      <c r="Y109" s="195"/>
      <c r="Z109" s="469" t="s">
        <v>48</v>
      </c>
      <c r="AA109" s="195"/>
      <c r="AB109" s="483"/>
      <c r="AC109" s="484"/>
      <c r="AD109" s="469" t="s">
        <v>163</v>
      </c>
      <c r="AE109" s="469" t="str">
        <f>"/(台・h)"</f>
        <v>/(台・h)</v>
      </c>
      <c r="AF109" s="469"/>
      <c r="AG109" s="469" t="s">
        <v>49</v>
      </c>
      <c r="AH109" s="469" t="s">
        <v>50</v>
      </c>
      <c r="AI109" s="469" t="s">
        <v>51</v>
      </c>
      <c r="AJ109" s="469" t="s">
        <v>483</v>
      </c>
      <c r="AK109" s="469" t="str">
        <f>"/年"</f>
        <v>/年</v>
      </c>
      <c r="AL109" s="195" t="s">
        <v>9</v>
      </c>
      <c r="AM109" s="195" t="s">
        <v>165</v>
      </c>
      <c r="AN109" s="469" t="s">
        <v>32</v>
      </c>
      <c r="AO109" s="195" t="s">
        <v>9</v>
      </c>
      <c r="AP109" s="195" t="s">
        <v>165</v>
      </c>
    </row>
    <row r="110" spans="1:42" s="397" customFormat="1" x14ac:dyDescent="0.55000000000000004">
      <c r="B110" s="307" t="s">
        <v>265</v>
      </c>
      <c r="C110" s="329" t="s">
        <v>497</v>
      </c>
      <c r="D110" s="329" t="s">
        <v>505</v>
      </c>
      <c r="E110" s="329">
        <v>2008</v>
      </c>
      <c r="F110" s="187">
        <v>2</v>
      </c>
      <c r="G110" s="410" t="s">
        <v>6</v>
      </c>
      <c r="H110" s="321" t="s">
        <v>499</v>
      </c>
      <c r="I110" s="331">
        <v>1.5</v>
      </c>
      <c r="J110" s="331" t="s">
        <v>500</v>
      </c>
      <c r="K110" s="307">
        <v>7.2</v>
      </c>
      <c r="L110" s="307" t="s">
        <v>476</v>
      </c>
      <c r="M110" s="309">
        <f>7.2/1.64</f>
        <v>4.3902439024390247</v>
      </c>
      <c r="N110" s="187">
        <v>1.64</v>
      </c>
      <c r="O110" s="316">
        <f>AT110</f>
        <v>0</v>
      </c>
      <c r="P110" s="187">
        <v>14</v>
      </c>
      <c r="Q110" s="187">
        <v>365</v>
      </c>
      <c r="R110" s="191">
        <v>5110</v>
      </c>
      <c r="S110" s="485">
        <v>0.4</v>
      </c>
      <c r="T110" s="318">
        <v>159.52000000000001</v>
      </c>
      <c r="U110" s="318">
        <v>41303.4</v>
      </c>
      <c r="V110" s="192">
        <v>18.875653800000002</v>
      </c>
      <c r="W110" s="317" t="s">
        <v>500</v>
      </c>
      <c r="X110" s="265">
        <v>6.5852685486000002</v>
      </c>
      <c r="Y110" s="326" t="s">
        <v>887</v>
      </c>
      <c r="Z110" s="187">
        <v>2</v>
      </c>
      <c r="AA110" s="410" t="s">
        <v>6</v>
      </c>
      <c r="AB110" s="307">
        <v>40</v>
      </c>
      <c r="AC110" s="307" t="s">
        <v>476</v>
      </c>
      <c r="AD110" s="309">
        <v>4.2417815482502652</v>
      </c>
      <c r="AE110" s="267">
        <v>9.43</v>
      </c>
      <c r="AF110" s="316" t="s">
        <v>499</v>
      </c>
      <c r="AG110" s="319">
        <v>10</v>
      </c>
      <c r="AH110" s="320">
        <v>365</v>
      </c>
      <c r="AI110" s="191">
        <v>3650</v>
      </c>
      <c r="AJ110" s="492">
        <v>0.4</v>
      </c>
      <c r="AK110" s="191">
        <v>27535.600000000002</v>
      </c>
      <c r="AL110" s="192">
        <v>12.583769200000001</v>
      </c>
      <c r="AM110" s="317" t="s">
        <v>500</v>
      </c>
      <c r="AN110" s="265">
        <v>7.0828722456000008</v>
      </c>
      <c r="AO110" s="240">
        <v>6.2918846000000013</v>
      </c>
      <c r="AP110" s="317" t="s">
        <v>500</v>
      </c>
    </row>
    <row r="111" spans="1:42" s="397" customFormat="1" x14ac:dyDescent="0.55000000000000004"/>
    <row r="112" spans="1:42" s="397" customFormat="1" x14ac:dyDescent="0.55000000000000004"/>
    <row r="113" spans="1:1" s="397" customFormat="1" x14ac:dyDescent="0.55000000000000004"/>
    <row r="114" spans="1:1" s="397" customFormat="1" x14ac:dyDescent="0.55000000000000004"/>
    <row r="115" spans="1:1" s="397" customFormat="1" x14ac:dyDescent="0.55000000000000004"/>
    <row r="116" spans="1:1" s="397" customFormat="1" x14ac:dyDescent="0.55000000000000004"/>
    <row r="117" spans="1:1" s="397" customFormat="1" x14ac:dyDescent="0.55000000000000004"/>
    <row r="118" spans="1:1" s="397" customFormat="1" x14ac:dyDescent="0.55000000000000004"/>
    <row r="119" spans="1:1" s="397" customFormat="1" x14ac:dyDescent="0.55000000000000004"/>
    <row r="120" spans="1:1" s="397" customFormat="1" x14ac:dyDescent="0.55000000000000004"/>
    <row r="121" spans="1:1" s="397" customFormat="1" x14ac:dyDescent="0.55000000000000004"/>
    <row r="122" spans="1:1" s="397" customFormat="1" x14ac:dyDescent="0.55000000000000004"/>
    <row r="123" spans="1:1" s="397" customFormat="1" x14ac:dyDescent="0.55000000000000004"/>
    <row r="124" spans="1:1" s="397" customFormat="1" x14ac:dyDescent="0.55000000000000004"/>
    <row r="125" spans="1:1" s="397" customFormat="1" x14ac:dyDescent="0.55000000000000004"/>
    <row r="126" spans="1:1" s="411" customFormat="1" ht="29" x14ac:dyDescent="0.85">
      <c r="A126" s="322" t="s">
        <v>528</v>
      </c>
    </row>
    <row r="127" spans="1:1" s="411" customFormat="1" x14ac:dyDescent="0.55000000000000004"/>
    <row r="128" spans="1:1" s="411" customFormat="1" x14ac:dyDescent="0.55000000000000004"/>
    <row r="129" spans="2:32" s="411" customFormat="1" x14ac:dyDescent="0.55000000000000004"/>
    <row r="130" spans="2:32" s="411" customFormat="1" x14ac:dyDescent="0.55000000000000004"/>
    <row r="131" spans="2:32" s="411" customFormat="1" x14ac:dyDescent="0.55000000000000004"/>
    <row r="132" spans="2:32" s="411" customFormat="1" x14ac:dyDescent="0.55000000000000004"/>
    <row r="133" spans="2:32" s="411" customFormat="1" x14ac:dyDescent="0.55000000000000004"/>
    <row r="134" spans="2:32" s="411" customFormat="1" x14ac:dyDescent="0.55000000000000004"/>
    <row r="135" spans="2:32" s="411" customFormat="1" x14ac:dyDescent="0.55000000000000004"/>
    <row r="136" spans="2:32" s="411" customFormat="1" x14ac:dyDescent="0.55000000000000004"/>
    <row r="137" spans="2:32" s="411" customFormat="1" x14ac:dyDescent="0.55000000000000004"/>
    <row r="138" spans="2:32" s="411" customFormat="1" x14ac:dyDescent="0.55000000000000004"/>
    <row r="139" spans="2:32" s="411" customFormat="1" x14ac:dyDescent="0.55000000000000004"/>
    <row r="140" spans="2:32" s="411" customFormat="1" x14ac:dyDescent="0.55000000000000004">
      <c r="B140" s="677" t="s">
        <v>22</v>
      </c>
      <c r="C140" s="289" t="s">
        <v>24</v>
      </c>
      <c r="D140" s="288"/>
      <c r="E140" s="288"/>
      <c r="F140" s="288"/>
      <c r="G140" s="288"/>
      <c r="H140" s="349"/>
      <c r="I140" s="288"/>
      <c r="J140" s="288"/>
      <c r="K140" s="288"/>
      <c r="L140" s="288"/>
      <c r="M140" s="288"/>
      <c r="N140" s="288"/>
      <c r="O140" s="288"/>
      <c r="P140" s="214"/>
      <c r="Q140" s="289" t="s">
        <v>25</v>
      </c>
      <c r="R140" s="288"/>
      <c r="S140" s="288"/>
      <c r="T140" s="288"/>
      <c r="U140" s="288"/>
      <c r="V140" s="288"/>
      <c r="W140" s="288"/>
      <c r="X140" s="288"/>
      <c r="Y140" s="288"/>
      <c r="Z140" s="288"/>
      <c r="AA140" s="288"/>
      <c r="AB140" s="288"/>
      <c r="AC140" s="288"/>
      <c r="AD140" s="214"/>
      <c r="AE140" s="289" t="s">
        <v>34</v>
      </c>
      <c r="AF140" s="214"/>
    </row>
    <row r="141" spans="2:32" s="411" customFormat="1" ht="54" x14ac:dyDescent="0.55000000000000004">
      <c r="B141" s="679"/>
      <c r="C141" s="472" t="s">
        <v>35</v>
      </c>
      <c r="D141" s="481" t="s">
        <v>192</v>
      </c>
      <c r="E141" s="472" t="s">
        <v>191</v>
      </c>
      <c r="F141" s="723" t="s">
        <v>193</v>
      </c>
      <c r="G141" s="724"/>
      <c r="H141" s="475" t="s">
        <v>194</v>
      </c>
      <c r="I141" s="472" t="s">
        <v>195</v>
      </c>
      <c r="J141" s="472" t="s">
        <v>196</v>
      </c>
      <c r="K141" s="472" t="s">
        <v>197</v>
      </c>
      <c r="L141" s="472" t="s">
        <v>198</v>
      </c>
      <c r="M141" s="472" t="s">
        <v>433</v>
      </c>
      <c r="N141" s="481" t="s">
        <v>900</v>
      </c>
      <c r="O141" s="472" t="s">
        <v>38</v>
      </c>
      <c r="P141" s="472" t="s">
        <v>199</v>
      </c>
      <c r="Q141" s="472" t="s">
        <v>35</v>
      </c>
      <c r="R141" s="481" t="s">
        <v>200</v>
      </c>
      <c r="S141" s="472" t="s">
        <v>191</v>
      </c>
      <c r="T141" s="723" t="s">
        <v>193</v>
      </c>
      <c r="U141" s="724"/>
      <c r="V141" s="472" t="s">
        <v>201</v>
      </c>
      <c r="W141" s="472" t="s">
        <v>195</v>
      </c>
      <c r="X141" s="472" t="s">
        <v>202</v>
      </c>
      <c r="Y141" s="472" t="s">
        <v>203</v>
      </c>
      <c r="Z141" s="472" t="s">
        <v>204</v>
      </c>
      <c r="AA141" s="472" t="s">
        <v>433</v>
      </c>
      <c r="AB141" s="481" t="s">
        <v>901</v>
      </c>
      <c r="AC141" s="472" t="s">
        <v>43</v>
      </c>
      <c r="AD141" s="472" t="s">
        <v>205</v>
      </c>
      <c r="AE141" s="472" t="s">
        <v>206</v>
      </c>
      <c r="AF141" s="472" t="s">
        <v>207</v>
      </c>
    </row>
    <row r="142" spans="2:32" s="411" customFormat="1" x14ac:dyDescent="0.55000000000000004">
      <c r="B142" s="227" t="s">
        <v>23</v>
      </c>
      <c r="C142" s="469"/>
      <c r="D142" s="469"/>
      <c r="E142" s="469"/>
      <c r="F142" s="684"/>
      <c r="G142" s="685"/>
      <c r="H142" s="469" t="s">
        <v>19</v>
      </c>
      <c r="I142" s="469"/>
      <c r="J142" s="469" t="s">
        <v>20</v>
      </c>
      <c r="K142" s="469" t="s">
        <v>124</v>
      </c>
      <c r="L142" s="469"/>
      <c r="M142" s="469"/>
      <c r="N142" s="469" t="s">
        <v>208</v>
      </c>
      <c r="O142" s="469" t="s">
        <v>21</v>
      </c>
      <c r="P142" s="195" t="s">
        <v>9</v>
      </c>
      <c r="Q142" s="195"/>
      <c r="R142" s="469"/>
      <c r="S142" s="469"/>
      <c r="T142" s="684"/>
      <c r="U142" s="685"/>
      <c r="V142" s="469"/>
      <c r="W142" s="469"/>
      <c r="X142" s="469"/>
      <c r="Y142" s="469" t="s">
        <v>124</v>
      </c>
      <c r="Z142" s="469"/>
      <c r="AA142" s="469"/>
      <c r="AB142" s="469" t="s">
        <v>208</v>
      </c>
      <c r="AC142" s="469" t="s">
        <v>21</v>
      </c>
      <c r="AD142" s="195" t="s">
        <v>9</v>
      </c>
      <c r="AE142" s="469" t="s">
        <v>21</v>
      </c>
      <c r="AF142" s="195" t="s">
        <v>9</v>
      </c>
    </row>
    <row r="143" spans="2:32" s="411" customFormat="1" x14ac:dyDescent="0.55000000000000004">
      <c r="B143" s="186" t="s">
        <v>265</v>
      </c>
      <c r="C143" s="314" t="s">
        <v>478</v>
      </c>
      <c r="D143" s="412">
        <v>2</v>
      </c>
      <c r="E143" s="357" t="s">
        <v>434</v>
      </c>
      <c r="F143" s="744" t="s">
        <v>487</v>
      </c>
      <c r="G143" s="745"/>
      <c r="H143" s="357">
        <v>7.5</v>
      </c>
      <c r="I143" s="357" t="s">
        <v>257</v>
      </c>
      <c r="J143" s="413">
        <v>0.88700000000000001</v>
      </c>
      <c r="K143" s="414">
        <v>8.4554678692220975</v>
      </c>
      <c r="L143" s="309">
        <v>0.8</v>
      </c>
      <c r="M143" s="237" t="s">
        <v>410</v>
      </c>
      <c r="N143" s="412">
        <v>2560</v>
      </c>
      <c r="O143" s="191">
        <v>34633.596392333711</v>
      </c>
      <c r="P143" s="192">
        <v>15.827553551296505</v>
      </c>
      <c r="Q143" s="326" t="s">
        <v>490</v>
      </c>
      <c r="R143" s="412">
        <v>2</v>
      </c>
      <c r="S143" s="357" t="s">
        <v>209</v>
      </c>
      <c r="T143" s="746" t="s">
        <v>488</v>
      </c>
      <c r="U143" s="747"/>
      <c r="V143" s="261">
        <v>7.5</v>
      </c>
      <c r="W143" s="357" t="s">
        <v>257</v>
      </c>
      <c r="X143" s="413">
        <v>0.90400000000000003</v>
      </c>
      <c r="Y143" s="414">
        <v>8.2964601769911503</v>
      </c>
      <c r="Z143" s="415">
        <v>0.8</v>
      </c>
      <c r="AA143" s="237" t="s">
        <v>276</v>
      </c>
      <c r="AB143" s="416">
        <v>2560</v>
      </c>
      <c r="AC143" s="191">
        <v>27185.840707964606</v>
      </c>
      <c r="AD143" s="192">
        <v>12.423929203539824</v>
      </c>
      <c r="AE143" s="241">
        <v>7447.7556843691054</v>
      </c>
      <c r="AF143" s="240">
        <v>3.403624347756681</v>
      </c>
    </row>
    <row r="144" spans="2:32" s="411" customFormat="1" x14ac:dyDescent="0.55000000000000004"/>
    <row r="145" s="411" customFormat="1" x14ac:dyDescent="0.55000000000000004"/>
    <row r="146" s="411" customFormat="1" x14ac:dyDescent="0.55000000000000004"/>
    <row r="147" s="411" customFormat="1" x14ac:dyDescent="0.55000000000000004"/>
    <row r="148" s="411" customFormat="1" x14ac:dyDescent="0.55000000000000004"/>
    <row r="149" s="411" customFormat="1" x14ac:dyDescent="0.55000000000000004"/>
    <row r="150" s="411" customFormat="1" x14ac:dyDescent="0.55000000000000004"/>
    <row r="151" s="411" customFormat="1" x14ac:dyDescent="0.55000000000000004"/>
    <row r="152" s="411" customFormat="1" x14ac:dyDescent="0.55000000000000004"/>
    <row r="153" s="411" customFormat="1" x14ac:dyDescent="0.55000000000000004"/>
    <row r="154" s="411" customFormat="1" x14ac:dyDescent="0.55000000000000004"/>
    <row r="155" s="411" customFormat="1" x14ac:dyDescent="0.55000000000000004"/>
    <row r="156" s="411" customFormat="1" x14ac:dyDescent="0.55000000000000004"/>
    <row r="157" s="411" customFormat="1" x14ac:dyDescent="0.55000000000000004"/>
    <row r="158" s="411" customFormat="1" x14ac:dyDescent="0.55000000000000004"/>
    <row r="159" s="411" customFormat="1" x14ac:dyDescent="0.55000000000000004"/>
    <row r="160" s="411" customFormat="1" x14ac:dyDescent="0.55000000000000004"/>
    <row r="161" spans="1:1" s="411" customFormat="1" x14ac:dyDescent="0.55000000000000004"/>
    <row r="162" spans="1:1" s="418" customFormat="1" ht="29" x14ac:dyDescent="0.85">
      <c r="A162" s="417" t="s">
        <v>211</v>
      </c>
    </row>
    <row r="163" spans="1:1" s="418" customFormat="1" x14ac:dyDescent="0.55000000000000004"/>
    <row r="164" spans="1:1" s="418" customFormat="1" x14ac:dyDescent="0.55000000000000004"/>
    <row r="165" spans="1:1" s="418" customFormat="1" x14ac:dyDescent="0.55000000000000004"/>
    <row r="166" spans="1:1" s="418" customFormat="1" x14ac:dyDescent="0.55000000000000004"/>
    <row r="167" spans="1:1" s="418" customFormat="1" x14ac:dyDescent="0.55000000000000004"/>
    <row r="168" spans="1:1" s="418" customFormat="1" x14ac:dyDescent="0.55000000000000004"/>
    <row r="169" spans="1:1" s="418" customFormat="1" x14ac:dyDescent="0.55000000000000004"/>
    <row r="170" spans="1:1" s="418" customFormat="1" x14ac:dyDescent="0.55000000000000004"/>
    <row r="171" spans="1:1" s="418" customFormat="1" x14ac:dyDescent="0.55000000000000004"/>
    <row r="172" spans="1:1" s="418" customFormat="1" x14ac:dyDescent="0.55000000000000004"/>
    <row r="173" spans="1:1" s="418" customFormat="1" x14ac:dyDescent="0.55000000000000004"/>
    <row r="174" spans="1:1" s="418" customFormat="1" x14ac:dyDescent="0.55000000000000004"/>
    <row r="175" spans="1:1" s="418" customFormat="1" x14ac:dyDescent="0.55000000000000004"/>
    <row r="176" spans="1:1" s="418" customFormat="1" x14ac:dyDescent="0.55000000000000004"/>
    <row r="177" spans="2:23" s="418" customFormat="1" x14ac:dyDescent="0.55000000000000004">
      <c r="B177" s="194"/>
      <c r="C177" s="198" t="s">
        <v>24</v>
      </c>
      <c r="D177" s="199"/>
      <c r="E177" s="199"/>
      <c r="F177" s="199"/>
      <c r="G177" s="199"/>
      <c r="H177" s="199"/>
      <c r="I177" s="199"/>
      <c r="J177" s="199"/>
      <c r="K177" s="200"/>
      <c r="L177" s="198" t="s">
        <v>25</v>
      </c>
      <c r="M177" s="199"/>
      <c r="N177" s="199"/>
      <c r="O177" s="199"/>
      <c r="P177" s="199"/>
      <c r="Q177" s="199"/>
      <c r="R177" s="199"/>
      <c r="S177" s="199"/>
      <c r="T177" s="200"/>
      <c r="U177" s="353" t="s">
        <v>34</v>
      </c>
      <c r="V177" s="353"/>
      <c r="W177" s="287"/>
    </row>
    <row r="178" spans="2:23" s="418" customFormat="1" ht="33" x14ac:dyDescent="0.55000000000000004">
      <c r="B178" s="194" t="s">
        <v>22</v>
      </c>
      <c r="C178" s="480" t="s">
        <v>35</v>
      </c>
      <c r="D178" s="480" t="s">
        <v>213</v>
      </c>
      <c r="E178" s="480" t="s">
        <v>214</v>
      </c>
      <c r="F178" s="480" t="s">
        <v>215</v>
      </c>
      <c r="G178" s="480" t="s">
        <v>216</v>
      </c>
      <c r="H178" s="480" t="s">
        <v>217</v>
      </c>
      <c r="I178" s="480" t="s">
        <v>902</v>
      </c>
      <c r="J178" s="480" t="s">
        <v>38</v>
      </c>
      <c r="K178" s="480" t="s">
        <v>39</v>
      </c>
      <c r="L178" s="480" t="s">
        <v>35</v>
      </c>
      <c r="M178" s="480" t="s">
        <v>213</v>
      </c>
      <c r="N178" s="480" t="s">
        <v>214</v>
      </c>
      <c r="O178" s="480" t="s">
        <v>215</v>
      </c>
      <c r="P178" s="480" t="s">
        <v>216</v>
      </c>
      <c r="Q178" s="480" t="s">
        <v>217</v>
      </c>
      <c r="R178" s="480" t="s">
        <v>902</v>
      </c>
      <c r="S178" s="480" t="s">
        <v>38</v>
      </c>
      <c r="T178" s="480" t="s">
        <v>44</v>
      </c>
      <c r="U178" s="474" t="s">
        <v>45</v>
      </c>
      <c r="V178" s="474" t="s">
        <v>46</v>
      </c>
      <c r="W178" s="482" t="s">
        <v>218</v>
      </c>
    </row>
    <row r="179" spans="2:23" s="418" customFormat="1" x14ac:dyDescent="0.55000000000000004">
      <c r="B179" s="194" t="s">
        <v>23</v>
      </c>
      <c r="C179" s="469"/>
      <c r="D179" s="469" t="s">
        <v>479</v>
      </c>
      <c r="E179" s="469"/>
      <c r="F179" s="469" t="s">
        <v>480</v>
      </c>
      <c r="G179" s="469" t="s">
        <v>480</v>
      </c>
      <c r="H179" s="469" t="s">
        <v>481</v>
      </c>
      <c r="I179" s="469" t="s">
        <v>51</v>
      </c>
      <c r="J179" s="469" t="s">
        <v>21</v>
      </c>
      <c r="K179" s="195" t="s">
        <v>9</v>
      </c>
      <c r="L179" s="195"/>
      <c r="M179" s="469" t="s">
        <v>479</v>
      </c>
      <c r="N179" s="469"/>
      <c r="O179" s="469" t="s">
        <v>480</v>
      </c>
      <c r="P179" s="469" t="s">
        <v>480</v>
      </c>
      <c r="Q179" s="469" t="s">
        <v>481</v>
      </c>
      <c r="R179" s="469" t="s">
        <v>51</v>
      </c>
      <c r="S179" s="469" t="s">
        <v>21</v>
      </c>
      <c r="T179" s="195" t="s">
        <v>9</v>
      </c>
      <c r="U179" s="469" t="s">
        <v>21</v>
      </c>
      <c r="V179" s="195" t="s">
        <v>9</v>
      </c>
      <c r="W179" s="459"/>
    </row>
    <row r="180" spans="2:23" s="418" customFormat="1" ht="54" x14ac:dyDescent="0.55000000000000004">
      <c r="B180" s="419" t="s">
        <v>265</v>
      </c>
      <c r="C180" s="420" t="s">
        <v>492</v>
      </c>
      <c r="D180" s="420">
        <v>100</v>
      </c>
      <c r="E180" s="420" t="s">
        <v>482</v>
      </c>
      <c r="F180" s="420">
        <v>300</v>
      </c>
      <c r="G180" s="420">
        <v>1500</v>
      </c>
      <c r="H180" s="421">
        <v>0.4</v>
      </c>
      <c r="I180" s="420">
        <v>8760</v>
      </c>
      <c r="J180" s="422">
        <v>4730.3999999999996</v>
      </c>
      <c r="K180" s="423">
        <v>2.1617927999999997</v>
      </c>
      <c r="L180" s="420" t="s">
        <v>494</v>
      </c>
      <c r="M180" s="420">
        <v>100</v>
      </c>
      <c r="N180" s="420" t="s">
        <v>482</v>
      </c>
      <c r="O180" s="420">
        <v>100</v>
      </c>
      <c r="P180" s="420">
        <v>1000</v>
      </c>
      <c r="Q180" s="421">
        <v>0.4</v>
      </c>
      <c r="R180" s="424">
        <v>8760</v>
      </c>
      <c r="S180" s="422">
        <v>2277.6</v>
      </c>
      <c r="T180" s="423">
        <v>1.0408632</v>
      </c>
      <c r="U180" s="425">
        <v>2452.7999999999997</v>
      </c>
      <c r="V180" s="423">
        <v>1.1209295999999997</v>
      </c>
      <c r="W180" s="426" t="b">
        <v>0</v>
      </c>
    </row>
    <row r="181" spans="2:23" s="418" customFormat="1" x14ac:dyDescent="0.55000000000000004"/>
    <row r="182" spans="2:23" s="418" customFormat="1" x14ac:dyDescent="0.55000000000000004"/>
    <row r="183" spans="2:23" s="418" customFormat="1" x14ac:dyDescent="0.55000000000000004"/>
    <row r="184" spans="2:23" s="418" customFormat="1" x14ac:dyDescent="0.55000000000000004"/>
    <row r="185" spans="2:23" s="418" customFormat="1" x14ac:dyDescent="0.55000000000000004"/>
    <row r="186" spans="2:23" s="418" customFormat="1" x14ac:dyDescent="0.55000000000000004"/>
    <row r="187" spans="2:23" s="418" customFormat="1" x14ac:dyDescent="0.55000000000000004"/>
    <row r="188" spans="2:23" s="418" customFormat="1" x14ac:dyDescent="0.55000000000000004"/>
    <row r="189" spans="2:23" s="418" customFormat="1" x14ac:dyDescent="0.55000000000000004"/>
    <row r="190" spans="2:23" s="418" customFormat="1" x14ac:dyDescent="0.55000000000000004"/>
    <row r="191" spans="2:23" s="418" customFormat="1" x14ac:dyDescent="0.55000000000000004"/>
    <row r="192" spans="2:23" s="418" customFormat="1" x14ac:dyDescent="0.55000000000000004"/>
    <row r="193" s="418" customFormat="1" x14ac:dyDescent="0.55000000000000004"/>
    <row r="194" s="418" customFormat="1" x14ac:dyDescent="0.55000000000000004"/>
    <row r="195" s="418" customFormat="1" x14ac:dyDescent="0.55000000000000004"/>
  </sheetData>
  <sheetProtection password="CC4B" sheet="1" formatCells="0" formatColumns="0" formatRows="0"/>
  <mergeCells count="26">
    <mergeCell ref="F143:G143"/>
    <mergeCell ref="T143:U143"/>
    <mergeCell ref="B69:B71"/>
    <mergeCell ref="B38:B40"/>
    <mergeCell ref="B10:B11"/>
    <mergeCell ref="B107:B108"/>
    <mergeCell ref="R90:R92"/>
    <mergeCell ref="B140:B141"/>
    <mergeCell ref="F141:G141"/>
    <mergeCell ref="T141:U141"/>
    <mergeCell ref="F142:G142"/>
    <mergeCell ref="T142:U142"/>
    <mergeCell ref="R78:R80"/>
    <mergeCell ref="R81:R83"/>
    <mergeCell ref="R84:R86"/>
    <mergeCell ref="R87:R89"/>
    <mergeCell ref="X102:X105"/>
    <mergeCell ref="R77:S77"/>
    <mergeCell ref="L18:M18"/>
    <mergeCell ref="L19:M19"/>
    <mergeCell ref="L20:M20"/>
    <mergeCell ref="O46:P46"/>
    <mergeCell ref="O47:P47"/>
    <mergeCell ref="O48:P48"/>
    <mergeCell ref="O49:P49"/>
    <mergeCell ref="O34:R34"/>
  </mergeCells>
  <phoneticPr fontId="5"/>
  <conditionalFormatting sqref="C37">
    <cfRule type="expression" dxfId="10" priority="21">
      <formula>#REF!="なし"</formula>
    </cfRule>
  </conditionalFormatting>
  <conditionalFormatting sqref="C35:C36">
    <cfRule type="expression" dxfId="9" priority="15">
      <formula>#REF!="なし"</formula>
    </cfRule>
  </conditionalFormatting>
  <conditionalFormatting sqref="C66:C67">
    <cfRule type="expression" dxfId="8" priority="14">
      <formula>#REF!="なし"</formula>
    </cfRule>
  </conditionalFormatting>
  <conditionalFormatting sqref="I13">
    <cfRule type="expression" dxfId="7" priority="8">
      <formula>$H13&lt;&gt;"○"</formula>
    </cfRule>
  </conditionalFormatting>
  <conditionalFormatting sqref="G110">
    <cfRule type="expression" dxfId="6" priority="5">
      <formula>$D$1="なし"</formula>
    </cfRule>
  </conditionalFormatting>
  <conditionalFormatting sqref="AA110">
    <cfRule type="expression" dxfId="5" priority="3">
      <formula>$D$1="なし"</formula>
    </cfRule>
  </conditionalFormatting>
  <conditionalFormatting sqref="D62">
    <cfRule type="expression" dxfId="4" priority="1">
      <formula>$D$1="なし"</formula>
    </cfRule>
  </conditionalFormatting>
  <conditionalFormatting sqref="E62">
    <cfRule type="expression" dxfId="3" priority="2">
      <formula>$F$1="なし"</formula>
    </cfRule>
  </conditionalFormatting>
  <dataValidations count="10">
    <dataValidation type="whole" allowBlank="1" showInputMessage="1" showErrorMessage="1" sqref="P42">
      <formula1>0</formula1>
      <formula2>E42</formula2>
    </dataValidation>
    <dataValidation type="list" allowBlank="1" showInputMessage="1" showErrorMessage="1" sqref="R13 H13 M143 AA143">
      <formula1>"○"</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66:C67">
      <formula1>0.4</formula1>
    </dataValidation>
    <dataValidation type="whole" errorStyle="warning" allowBlank="1" showInputMessage="1" showErrorMessage="1" errorTitle="台数の増減" sqref="S73">
      <formula1>0</formula1>
      <formula2>E73</formula2>
    </dataValidation>
    <dataValidation type="list" allowBlank="1" showInputMessage="1" showErrorMessage="1" sqref="AC110 L110">
      <formula1>"　,t/h,kW"</formula1>
    </dataValidation>
    <dataValidation type="list" allowBlank="1" showInputMessage="1" showErrorMessage="1" sqref="V143 H143">
      <formula1>INDIRECT("range"&amp;E143)</formula1>
    </dataValidation>
    <dataValidation type="list" allowBlank="1" showInputMessage="1" showErrorMessage="1" sqref="E143 S143">
      <formula1>"IE1,IE2,IE3,IE4"</formula1>
    </dataValidation>
    <dataValidation type="list" allowBlank="1" showInputMessage="1" showErrorMessage="1" sqref="D110">
      <formula1>"ボイラー,給湯器（加熱式）,給湯器（HP）"</formula1>
    </dataValidation>
    <dataValidation type="list" allowBlank="1" showInputMessage="1" showErrorMessage="1" sqref="E62">
      <formula1>"13A,12A,LP"</formula1>
    </dataValidation>
    <dataValidation type="list" allowBlank="1" showInputMessage="1" showErrorMessage="1" sqref="D62">
      <formula1>"都市ガス,液化石油ガス（LPG）"</formula1>
    </dataValidation>
  </dataValidations>
  <pageMargins left="0.70866141732283472" right="0.70866141732283472" top="0.74803149606299213" bottom="0.74803149606299213" header="0.31496062992125984" footer="0.31496062992125984"/>
  <pageSetup paperSize="9" scale="31" fitToHeight="0" orientation="landscape" r:id="rId1"/>
  <rowBreaks count="2" manualBreakCount="2">
    <brk id="58" max="16383" man="1"/>
    <brk id="125"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係数!$B$3:$B$30</xm:f>
          </x14:formula1>
          <xm:sqref>G110 AA110</xm:sqref>
        </x14:dataValidation>
        <x14:dataValidation type="list" allowBlank="1" showInputMessage="1" showErrorMessage="1">
          <x14:formula1>
            <xm:f>IF($S$18="IE4",モーター効率!$C$1:$F$1,モーター効率!$C$1:$E$1)</xm:f>
          </x14:formula1>
          <xm:sqref>W143</xm:sqref>
        </x14:dataValidation>
        <x14:dataValidation type="list" allowBlank="1" showInputMessage="1" showErrorMessage="1">
          <x14:formula1>
            <xm:f>IF($E$20="IE4",モーター効率!$C$1:$F$1,モーター効率!$C$1:$E$1)</xm:f>
          </x14:formula1>
          <xm:sqref>I143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B6" sqref="B6"/>
    </sheetView>
  </sheetViews>
  <sheetFormatPr defaultColWidth="8.83203125" defaultRowHeight="18" x14ac:dyDescent="0.55000000000000004"/>
  <cols>
    <col min="1" max="1" width="18.08203125" style="53" customWidth="1"/>
    <col min="2" max="2" width="25.1640625" style="53" customWidth="1"/>
    <col min="3" max="3" width="8.83203125" style="53"/>
    <col min="4" max="4" width="12.83203125" style="53" customWidth="1"/>
    <col min="5" max="5" width="12.08203125" style="53" customWidth="1"/>
    <col min="6" max="7" width="8.83203125" style="53"/>
    <col min="8" max="8" width="14.83203125" style="72" customWidth="1"/>
    <col min="9" max="9" width="11.9140625" style="53" customWidth="1"/>
    <col min="10" max="16384" width="8.83203125" style="53"/>
  </cols>
  <sheetData>
    <row r="1" spans="1:11" ht="19" x14ac:dyDescent="0.55000000000000004">
      <c r="A1" s="51" t="s">
        <v>221</v>
      </c>
      <c r="B1" s="52">
        <v>1</v>
      </c>
      <c r="C1" s="52">
        <v>2</v>
      </c>
      <c r="D1" s="52">
        <v>3</v>
      </c>
      <c r="E1" s="340">
        <v>4</v>
      </c>
      <c r="F1" s="340">
        <v>5</v>
      </c>
      <c r="G1" s="340">
        <v>6</v>
      </c>
      <c r="H1" s="340">
        <v>7</v>
      </c>
      <c r="I1" s="52">
        <v>8</v>
      </c>
      <c r="K1" s="499" t="s">
        <v>888</v>
      </c>
    </row>
    <row r="2" spans="1:11" x14ac:dyDescent="0.55000000000000004">
      <c r="A2" s="53" t="s">
        <v>222</v>
      </c>
      <c r="B2" s="54" t="s">
        <v>223</v>
      </c>
      <c r="C2" s="55" t="s">
        <v>224</v>
      </c>
      <c r="D2" s="56" t="s">
        <v>225</v>
      </c>
      <c r="E2" s="57" t="s">
        <v>226</v>
      </c>
      <c r="F2" s="58" t="s">
        <v>227</v>
      </c>
      <c r="G2" s="56" t="s">
        <v>228</v>
      </c>
      <c r="H2" s="59" t="s">
        <v>229</v>
      </c>
      <c r="I2" s="56" t="s">
        <v>228</v>
      </c>
      <c r="K2" s="500" t="str">
        <f>HYPERLINK("#", "https://www.enecho.meti.go.jp/statistics/total_energy/carbon.html")</f>
        <v>https://www.enecho.meti.go.jp/statistics/total_energy/carbon.html</v>
      </c>
    </row>
    <row r="3" spans="1:11" ht="18" customHeight="1" x14ac:dyDescent="0.55000000000000004">
      <c r="B3" s="60" t="s">
        <v>230</v>
      </c>
      <c r="C3" s="61">
        <v>38.200000000000003</v>
      </c>
      <c r="D3" s="62" t="str">
        <f>"MJ/"&amp;E3</f>
        <v>MJ/L</v>
      </c>
      <c r="E3" s="62" t="s">
        <v>13</v>
      </c>
      <c r="F3" s="63">
        <v>1.8700000000000001E-2</v>
      </c>
      <c r="G3" s="64" t="s">
        <v>231</v>
      </c>
      <c r="H3" s="65">
        <f>$C3*F3*44/12/1000</f>
        <v>2.6192466666666667E-3</v>
      </c>
      <c r="I3" s="32" t="str">
        <f>"tCO2/"&amp;E3</f>
        <v>tCO2/L</v>
      </c>
      <c r="K3" s="499" t="s">
        <v>889</v>
      </c>
    </row>
    <row r="4" spans="1:11" x14ac:dyDescent="0.55000000000000004">
      <c r="B4" s="60" t="s">
        <v>232</v>
      </c>
      <c r="C4" s="61">
        <v>35.299999999999997</v>
      </c>
      <c r="D4" s="62" t="str">
        <f t="shared" ref="D4:D10" si="0">"MJ/"&amp;E4</f>
        <v>MJ/L</v>
      </c>
      <c r="E4" s="62" t="s">
        <v>13</v>
      </c>
      <c r="F4" s="63">
        <v>1.84E-2</v>
      </c>
      <c r="G4" s="64" t="s">
        <v>231</v>
      </c>
      <c r="H4" s="65">
        <f t="shared" ref="H4:H24" si="1">$C4*F4*44/12/1000</f>
        <v>2.3815733333333333E-3</v>
      </c>
      <c r="I4" s="32" t="str">
        <f t="shared" ref="I4:I30" si="2">"tCO2/"&amp;E4</f>
        <v>tCO2/L</v>
      </c>
      <c r="K4" s="500" t="str">
        <f>HYPERLINK("#", "https://ghg-santeikohyo.env.go.jp/calc")</f>
        <v>https://ghg-santeikohyo.env.go.jp/calc</v>
      </c>
    </row>
    <row r="5" spans="1:11" x14ac:dyDescent="0.55000000000000004">
      <c r="B5" s="60" t="s">
        <v>233</v>
      </c>
      <c r="C5" s="61">
        <v>34.6</v>
      </c>
      <c r="D5" s="62" t="str">
        <f t="shared" si="0"/>
        <v>MJ/L</v>
      </c>
      <c r="E5" s="62" t="s">
        <v>13</v>
      </c>
      <c r="F5" s="63">
        <v>1.83E-2</v>
      </c>
      <c r="G5" s="64" t="s">
        <v>231</v>
      </c>
      <c r="H5" s="65">
        <f t="shared" si="1"/>
        <v>2.3216600000000001E-3</v>
      </c>
      <c r="I5" s="32" t="str">
        <f t="shared" si="2"/>
        <v>tCO2/L</v>
      </c>
    </row>
    <row r="6" spans="1:11" x14ac:dyDescent="0.55000000000000004">
      <c r="B6" s="60" t="s">
        <v>234</v>
      </c>
      <c r="C6" s="61">
        <v>33.6</v>
      </c>
      <c r="D6" s="62" t="str">
        <f t="shared" si="0"/>
        <v>MJ/L</v>
      </c>
      <c r="E6" s="62" t="s">
        <v>13</v>
      </c>
      <c r="F6" s="63">
        <v>1.8200000000000001E-2</v>
      </c>
      <c r="G6" s="64" t="s">
        <v>231</v>
      </c>
      <c r="H6" s="65">
        <f t="shared" si="1"/>
        <v>2.2422400000000004E-3</v>
      </c>
      <c r="I6" s="32" t="str">
        <f t="shared" si="2"/>
        <v>tCO2/L</v>
      </c>
    </row>
    <row r="7" spans="1:11" x14ac:dyDescent="0.55000000000000004">
      <c r="B7" s="60" t="s">
        <v>16</v>
      </c>
      <c r="C7" s="61">
        <v>36.700000000000003</v>
      </c>
      <c r="D7" s="62" t="str">
        <f t="shared" si="0"/>
        <v>MJ/L</v>
      </c>
      <c r="E7" s="62" t="s">
        <v>13</v>
      </c>
      <c r="F7" s="63">
        <v>1.8499999999999999E-2</v>
      </c>
      <c r="G7" s="64" t="s">
        <v>231</v>
      </c>
      <c r="H7" s="65">
        <f t="shared" si="1"/>
        <v>2.4894833333333338E-3</v>
      </c>
      <c r="I7" s="32" t="str">
        <f t="shared" si="2"/>
        <v>tCO2/L</v>
      </c>
    </row>
    <row r="8" spans="1:11" x14ac:dyDescent="0.55000000000000004">
      <c r="B8" s="60" t="s">
        <v>235</v>
      </c>
      <c r="C8" s="61">
        <v>37.700000000000003</v>
      </c>
      <c r="D8" s="62" t="str">
        <f t="shared" si="0"/>
        <v>MJ/L</v>
      </c>
      <c r="E8" s="62" t="s">
        <v>13</v>
      </c>
      <c r="F8" s="63">
        <v>1.8700000000000001E-2</v>
      </c>
      <c r="G8" s="64" t="s">
        <v>231</v>
      </c>
      <c r="H8" s="65">
        <f t="shared" si="1"/>
        <v>2.584963333333334E-3</v>
      </c>
      <c r="I8" s="32" t="str">
        <f t="shared" si="2"/>
        <v>tCO2/L</v>
      </c>
    </row>
    <row r="9" spans="1:11" x14ac:dyDescent="0.55000000000000004">
      <c r="B9" s="60" t="s">
        <v>17</v>
      </c>
      <c r="C9" s="61">
        <v>39.1</v>
      </c>
      <c r="D9" s="62" t="str">
        <f t="shared" si="0"/>
        <v>MJ/L</v>
      </c>
      <c r="E9" s="62" t="s">
        <v>13</v>
      </c>
      <c r="F9" s="63">
        <v>1.89E-2</v>
      </c>
      <c r="G9" s="64" t="s">
        <v>231</v>
      </c>
      <c r="H9" s="65">
        <f t="shared" si="1"/>
        <v>2.7096300000000002E-3</v>
      </c>
      <c r="I9" s="32" t="str">
        <f t="shared" si="2"/>
        <v>tCO2/L</v>
      </c>
    </row>
    <row r="10" spans="1:11" x14ac:dyDescent="0.55000000000000004">
      <c r="B10" s="60" t="s">
        <v>236</v>
      </c>
      <c r="C10" s="61">
        <v>41.9</v>
      </c>
      <c r="D10" s="62" t="str">
        <f t="shared" si="0"/>
        <v>MJ/L</v>
      </c>
      <c r="E10" s="62" t="s">
        <v>13</v>
      </c>
      <c r="F10" s="63">
        <v>1.95E-2</v>
      </c>
      <c r="G10" s="64" t="s">
        <v>231</v>
      </c>
      <c r="H10" s="65">
        <f t="shared" si="1"/>
        <v>2.9958499999999996E-3</v>
      </c>
      <c r="I10" s="32" t="str">
        <f t="shared" si="2"/>
        <v>tCO2/L</v>
      </c>
    </row>
    <row r="11" spans="1:11" x14ac:dyDescent="0.55000000000000004">
      <c r="B11" s="60" t="s">
        <v>237</v>
      </c>
      <c r="C11" s="61">
        <v>40.9</v>
      </c>
      <c r="D11" s="62" t="str">
        <f>"MJ/"&amp;E11</f>
        <v>MJ/kg</v>
      </c>
      <c r="E11" s="62" t="s">
        <v>15</v>
      </c>
      <c r="F11" s="63">
        <v>2.0799999999999999E-2</v>
      </c>
      <c r="G11" s="64" t="s">
        <v>231</v>
      </c>
      <c r="H11" s="65">
        <f t="shared" si="1"/>
        <v>3.1193066666666668E-3</v>
      </c>
      <c r="I11" s="32" t="str">
        <f t="shared" si="2"/>
        <v>tCO2/kg</v>
      </c>
    </row>
    <row r="12" spans="1:11" x14ac:dyDescent="0.55000000000000004">
      <c r="B12" s="60" t="s">
        <v>238</v>
      </c>
      <c r="C12" s="61">
        <v>29.9</v>
      </c>
      <c r="D12" s="62" t="str">
        <f t="shared" ref="D12:D30" si="3">"MJ/"&amp;E12</f>
        <v>MJ/kg</v>
      </c>
      <c r="E12" s="62" t="s">
        <v>15</v>
      </c>
      <c r="F12" s="63">
        <v>2.5399999999999999E-2</v>
      </c>
      <c r="G12" s="64" t="s">
        <v>231</v>
      </c>
      <c r="H12" s="65">
        <f t="shared" si="1"/>
        <v>2.7846866666666661E-3</v>
      </c>
      <c r="I12" s="32" t="str">
        <f t="shared" si="2"/>
        <v>tCO2/kg</v>
      </c>
    </row>
    <row r="13" spans="1:11" x14ac:dyDescent="0.55000000000000004">
      <c r="B13" s="60" t="s">
        <v>14</v>
      </c>
      <c r="C13" s="61">
        <v>50.8</v>
      </c>
      <c r="D13" s="62" t="str">
        <f t="shared" si="3"/>
        <v>MJ/kg</v>
      </c>
      <c r="E13" s="62" t="s">
        <v>15</v>
      </c>
      <c r="F13" s="63">
        <v>1.61E-2</v>
      </c>
      <c r="G13" s="64" t="s">
        <v>231</v>
      </c>
      <c r="H13" s="65">
        <f>$C13*F13*44/12/1000</f>
        <v>2.998893333333333E-3</v>
      </c>
      <c r="I13" s="32" t="str">
        <f t="shared" si="2"/>
        <v>tCO2/kg</v>
      </c>
    </row>
    <row r="14" spans="1:11" x14ac:dyDescent="0.55000000000000004">
      <c r="B14" s="60" t="s">
        <v>239</v>
      </c>
      <c r="C14" s="61">
        <v>44.9</v>
      </c>
      <c r="D14" s="62" t="str">
        <f t="shared" si="3"/>
        <v>MJ/㎥</v>
      </c>
      <c r="E14" s="62" t="s">
        <v>12</v>
      </c>
      <c r="F14" s="63">
        <v>1.4200000000000001E-2</v>
      </c>
      <c r="G14" s="64" t="s">
        <v>231</v>
      </c>
      <c r="H14" s="65">
        <f t="shared" si="1"/>
        <v>2.3377933333333335E-3</v>
      </c>
      <c r="I14" s="32" t="str">
        <f t="shared" si="2"/>
        <v>tCO2/㎥</v>
      </c>
    </row>
    <row r="15" spans="1:11" ht="18" customHeight="1" x14ac:dyDescent="0.55000000000000004">
      <c r="B15" s="60" t="s">
        <v>240</v>
      </c>
      <c r="C15" s="61">
        <v>54.6</v>
      </c>
      <c r="D15" s="62" t="str">
        <f t="shared" si="3"/>
        <v>MJ/kg</v>
      </c>
      <c r="E15" s="62" t="s">
        <v>15</v>
      </c>
      <c r="F15" s="63">
        <v>1.35E-2</v>
      </c>
      <c r="G15" s="64" t="s">
        <v>231</v>
      </c>
      <c r="H15" s="65">
        <f t="shared" si="1"/>
        <v>2.7027000000000002E-3</v>
      </c>
      <c r="I15" s="32" t="str">
        <f t="shared" si="2"/>
        <v>tCO2/kg</v>
      </c>
    </row>
    <row r="16" spans="1:11" x14ac:dyDescent="0.55000000000000004">
      <c r="B16" s="60" t="s">
        <v>241</v>
      </c>
      <c r="C16" s="61">
        <v>43.5</v>
      </c>
      <c r="D16" s="62" t="str">
        <f t="shared" si="3"/>
        <v>MJ/㎥</v>
      </c>
      <c r="E16" s="62" t="s">
        <v>12</v>
      </c>
      <c r="F16" s="63">
        <v>1.3899999999999999E-2</v>
      </c>
      <c r="G16" s="64" t="s">
        <v>231</v>
      </c>
      <c r="H16" s="65">
        <f t="shared" si="1"/>
        <v>2.2170499999999999E-3</v>
      </c>
      <c r="I16" s="32" t="str">
        <f t="shared" si="2"/>
        <v>tCO2/㎥</v>
      </c>
    </row>
    <row r="17" spans="2:9" x14ac:dyDescent="0.55000000000000004">
      <c r="B17" s="60" t="s">
        <v>242</v>
      </c>
      <c r="C17" s="61">
        <v>29</v>
      </c>
      <c r="D17" s="62" t="str">
        <f t="shared" si="3"/>
        <v>MJ/kg</v>
      </c>
      <c r="E17" s="62" t="s">
        <v>15</v>
      </c>
      <c r="F17" s="63">
        <v>2.4500000000000001E-2</v>
      </c>
      <c r="G17" s="64" t="s">
        <v>231</v>
      </c>
      <c r="H17" s="65">
        <f t="shared" si="1"/>
        <v>2.6051666666666667E-3</v>
      </c>
      <c r="I17" s="32" t="str">
        <f t="shared" si="2"/>
        <v>tCO2/kg</v>
      </c>
    </row>
    <row r="18" spans="2:9" x14ac:dyDescent="0.55000000000000004">
      <c r="B18" s="60" t="s">
        <v>243</v>
      </c>
      <c r="C18" s="61">
        <v>25.7</v>
      </c>
      <c r="D18" s="62" t="str">
        <f t="shared" si="3"/>
        <v>MJ/kg</v>
      </c>
      <c r="E18" s="62" t="s">
        <v>15</v>
      </c>
      <c r="F18" s="63">
        <v>2.47E-2</v>
      </c>
      <c r="G18" s="64" t="s">
        <v>231</v>
      </c>
      <c r="H18" s="65">
        <f t="shared" si="1"/>
        <v>2.3275633333333335E-3</v>
      </c>
      <c r="I18" s="32" t="str">
        <f t="shared" si="2"/>
        <v>tCO2/kg</v>
      </c>
    </row>
    <row r="19" spans="2:9" x14ac:dyDescent="0.55000000000000004">
      <c r="B19" s="60" t="s">
        <v>244</v>
      </c>
      <c r="C19" s="61">
        <v>26.9</v>
      </c>
      <c r="D19" s="62" t="str">
        <f t="shared" si="3"/>
        <v>MJ/kg</v>
      </c>
      <c r="E19" s="62" t="s">
        <v>15</v>
      </c>
      <c r="F19" s="63">
        <v>2.5499999999999998E-2</v>
      </c>
      <c r="G19" s="64" t="s">
        <v>231</v>
      </c>
      <c r="H19" s="65">
        <f t="shared" si="1"/>
        <v>2.5151499999999999E-3</v>
      </c>
      <c r="I19" s="32" t="str">
        <f t="shared" si="2"/>
        <v>tCO2/kg</v>
      </c>
    </row>
    <row r="20" spans="2:9" x14ac:dyDescent="0.55000000000000004">
      <c r="B20" s="60" t="s">
        <v>245</v>
      </c>
      <c r="C20" s="61">
        <v>29.4</v>
      </c>
      <c r="D20" s="62" t="str">
        <f t="shared" si="3"/>
        <v>MJ/kg</v>
      </c>
      <c r="E20" s="62" t="s">
        <v>15</v>
      </c>
      <c r="F20" s="63">
        <v>2.9399999999999999E-2</v>
      </c>
      <c r="G20" s="64" t="s">
        <v>231</v>
      </c>
      <c r="H20" s="65">
        <f t="shared" si="1"/>
        <v>3.1693199999999993E-3</v>
      </c>
      <c r="I20" s="32" t="str">
        <f t="shared" si="2"/>
        <v>tCO2/kg</v>
      </c>
    </row>
    <row r="21" spans="2:9" x14ac:dyDescent="0.55000000000000004">
      <c r="B21" s="60" t="s">
        <v>246</v>
      </c>
      <c r="C21" s="61">
        <v>37.299999999999997</v>
      </c>
      <c r="D21" s="62" t="str">
        <f t="shared" si="3"/>
        <v>MJ/kg</v>
      </c>
      <c r="E21" s="62" t="s">
        <v>15</v>
      </c>
      <c r="F21" s="63">
        <v>2.0899999999999998E-2</v>
      </c>
      <c r="G21" s="64" t="s">
        <v>231</v>
      </c>
      <c r="H21" s="65">
        <f t="shared" si="1"/>
        <v>2.8584233333333329E-3</v>
      </c>
      <c r="I21" s="32" t="str">
        <f t="shared" si="2"/>
        <v>tCO2/kg</v>
      </c>
    </row>
    <row r="22" spans="2:9" x14ac:dyDescent="0.55000000000000004">
      <c r="B22" s="60" t="s">
        <v>247</v>
      </c>
      <c r="C22" s="61">
        <v>21.1</v>
      </c>
      <c r="D22" s="62" t="str">
        <f t="shared" si="3"/>
        <v>MJ/㎥</v>
      </c>
      <c r="E22" s="62" t="s">
        <v>12</v>
      </c>
      <c r="F22" s="63">
        <v>1.0999999999999999E-2</v>
      </c>
      <c r="G22" s="64" t="s">
        <v>231</v>
      </c>
      <c r="H22" s="65">
        <f t="shared" si="1"/>
        <v>8.5103333333333344E-4</v>
      </c>
      <c r="I22" s="32" t="str">
        <f t="shared" si="2"/>
        <v>tCO2/㎥</v>
      </c>
    </row>
    <row r="23" spans="2:9" x14ac:dyDescent="0.55000000000000004">
      <c r="B23" s="60" t="s">
        <v>248</v>
      </c>
      <c r="C23" s="66">
        <v>3.41</v>
      </c>
      <c r="D23" s="62" t="str">
        <f t="shared" si="3"/>
        <v>MJ/㎥</v>
      </c>
      <c r="E23" s="62" t="s">
        <v>12</v>
      </c>
      <c r="F23" s="63">
        <v>2.63E-2</v>
      </c>
      <c r="G23" s="64" t="s">
        <v>231</v>
      </c>
      <c r="H23" s="65">
        <f t="shared" si="1"/>
        <v>3.2883766666666665E-4</v>
      </c>
      <c r="I23" s="32" t="str">
        <f t="shared" si="2"/>
        <v>tCO2/㎥</v>
      </c>
    </row>
    <row r="24" spans="2:9" x14ac:dyDescent="0.55000000000000004">
      <c r="B24" s="60" t="s">
        <v>249</v>
      </c>
      <c r="C24" s="66">
        <v>8.41</v>
      </c>
      <c r="D24" s="62" t="str">
        <f t="shared" si="3"/>
        <v>MJ/㎥</v>
      </c>
      <c r="E24" s="62" t="s">
        <v>12</v>
      </c>
      <c r="F24" s="63">
        <v>3.8399999999999997E-2</v>
      </c>
      <c r="G24" s="335" t="s">
        <v>231</v>
      </c>
      <c r="H24" s="336">
        <f t="shared" si="1"/>
        <v>1.1841279999999998E-3</v>
      </c>
      <c r="I24" s="337" t="str">
        <f t="shared" si="2"/>
        <v>tCO2/㎥</v>
      </c>
    </row>
    <row r="25" spans="2:9" x14ac:dyDescent="0.55000000000000004">
      <c r="B25" s="67" t="s">
        <v>151</v>
      </c>
      <c r="C25" s="338">
        <v>45</v>
      </c>
      <c r="D25" s="62" t="str">
        <f t="shared" si="3"/>
        <v>MJ/㎥</v>
      </c>
      <c r="E25" s="62" t="s">
        <v>12</v>
      </c>
      <c r="F25" s="63">
        <v>1.3599999999999999E-2</v>
      </c>
      <c r="G25" s="335" t="s">
        <v>231</v>
      </c>
      <c r="H25" s="336">
        <f>$C25*F25*44/12/1000</f>
        <v>2.2440000000000003E-3</v>
      </c>
      <c r="I25" s="337" t="str">
        <f>"tCO2/"&amp;E25</f>
        <v>tCO2/㎥</v>
      </c>
    </row>
    <row r="26" spans="2:9" x14ac:dyDescent="0.55000000000000004">
      <c r="B26" s="68" t="s">
        <v>250</v>
      </c>
      <c r="C26" s="66">
        <v>1.02</v>
      </c>
      <c r="D26" s="62" t="str">
        <f>"MJ/"&amp;E26</f>
        <v>MJ/MJ</v>
      </c>
      <c r="E26" s="62" t="s">
        <v>415</v>
      </c>
      <c r="F26" s="69">
        <v>0.06</v>
      </c>
      <c r="G26" s="339" t="s">
        <v>251</v>
      </c>
      <c r="H26" s="336">
        <f>$C26*F26/1000</f>
        <v>6.1199999999999997E-5</v>
      </c>
      <c r="I26" s="337" t="str">
        <f>"tCO2/"&amp;E26</f>
        <v>tCO2/MJ</v>
      </c>
    </row>
    <row r="27" spans="2:9" x14ac:dyDescent="0.55000000000000004">
      <c r="B27" s="68" t="s">
        <v>252</v>
      </c>
      <c r="C27" s="66">
        <v>1.36</v>
      </c>
      <c r="D27" s="62" t="str">
        <f>"MJ/"&amp;E27</f>
        <v>MJ/MJ</v>
      </c>
      <c r="E27" s="62" t="s">
        <v>415</v>
      </c>
      <c r="F27" s="69">
        <v>5.7000000000000002E-2</v>
      </c>
      <c r="G27" s="339" t="s">
        <v>251</v>
      </c>
      <c r="H27" s="336">
        <f>$C27*F27/1000</f>
        <v>7.7520000000000003E-5</v>
      </c>
      <c r="I27" s="337" t="str">
        <f t="shared" si="2"/>
        <v>tCO2/MJ</v>
      </c>
    </row>
    <row r="28" spans="2:9" x14ac:dyDescent="0.55000000000000004">
      <c r="B28" s="68" t="s">
        <v>253</v>
      </c>
      <c r="C28" s="66">
        <v>1.36</v>
      </c>
      <c r="D28" s="62" t="str">
        <f>"MJ/"&amp;E28</f>
        <v>MJ/MJ</v>
      </c>
      <c r="E28" s="62" t="s">
        <v>415</v>
      </c>
      <c r="F28" s="69">
        <v>5.7000000000000002E-2</v>
      </c>
      <c r="G28" s="339" t="s">
        <v>251</v>
      </c>
      <c r="H28" s="336">
        <f>$C28*F28/1000</f>
        <v>7.7520000000000003E-5</v>
      </c>
      <c r="I28" s="337" t="str">
        <f t="shared" si="2"/>
        <v>tCO2/MJ</v>
      </c>
    </row>
    <row r="29" spans="2:9" x14ac:dyDescent="0.55000000000000004">
      <c r="B29" s="68" t="s">
        <v>254</v>
      </c>
      <c r="C29" s="66">
        <v>1.36</v>
      </c>
      <c r="D29" s="62" t="str">
        <f>"MJ/"&amp;E29</f>
        <v>MJ/MJ</v>
      </c>
      <c r="E29" s="62" t="s">
        <v>415</v>
      </c>
      <c r="F29" s="69">
        <v>5.7000000000000002E-2</v>
      </c>
      <c r="G29" s="339" t="s">
        <v>251</v>
      </c>
      <c r="H29" s="336">
        <f>$C29*F29/1000</f>
        <v>7.7520000000000003E-5</v>
      </c>
      <c r="I29" s="337" t="str">
        <f t="shared" si="2"/>
        <v>tCO2/MJ</v>
      </c>
    </row>
    <row r="30" spans="2:9" ht="18" customHeight="1" x14ac:dyDescent="0.55000000000000004">
      <c r="B30" s="70" t="s">
        <v>6</v>
      </c>
      <c r="C30" s="66">
        <v>9.9700000000000006</v>
      </c>
      <c r="D30" s="62" t="str">
        <f t="shared" si="3"/>
        <v>MJ/kWh</v>
      </c>
      <c r="E30" s="62" t="s">
        <v>7</v>
      </c>
      <c r="F30" s="71">
        <v>4.57E-4</v>
      </c>
      <c r="G30" s="339" t="s">
        <v>255</v>
      </c>
      <c r="H30" s="336">
        <f>F30</f>
        <v>4.57E-4</v>
      </c>
      <c r="I30" s="337" t="str">
        <f t="shared" si="2"/>
        <v>tCO2/kWh</v>
      </c>
    </row>
  </sheetData>
  <sheetProtection password="CC4B" sheet="1" formatCells="0" formatColumns="0" formatRows="0"/>
  <phoneticPr fontId="5"/>
  <conditionalFormatting sqref="G30 C30">
    <cfRule type="containsErrors" dxfId="2" priority="3">
      <formula>ISERROR(C30)</formula>
    </cfRule>
  </conditionalFormatting>
  <conditionalFormatting sqref="F30">
    <cfRule type="containsErrors" dxfId="1" priority="2">
      <formula>ISERROR(F30)</formula>
    </cfRule>
  </conditionalFormatting>
  <conditionalFormatting sqref="B30">
    <cfRule type="cellIs" dxfId="0" priority="1" operator="equal">
      <formula>"電気事業者名を選択"</formula>
    </cfRule>
  </conditionalFormatting>
  <hyperlinks>
    <hyperlink ref="K2"/>
    <hyperlink ref="K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workbookViewId="0">
      <selection activeCell="E27" sqref="E27"/>
    </sheetView>
  </sheetViews>
  <sheetFormatPr defaultRowHeight="18" x14ac:dyDescent="0.55000000000000004"/>
  <cols>
    <col min="2" max="2" width="11.58203125" customWidth="1"/>
  </cols>
  <sheetData>
    <row r="1" spans="1:6" x14ac:dyDescent="0.55000000000000004">
      <c r="B1" t="s">
        <v>427</v>
      </c>
      <c r="C1" t="s">
        <v>256</v>
      </c>
      <c r="D1" t="s">
        <v>432</v>
      </c>
      <c r="E1" t="s">
        <v>258</v>
      </c>
      <c r="F1" t="s">
        <v>259</v>
      </c>
    </row>
    <row r="2" spans="1:6" x14ac:dyDescent="0.55000000000000004">
      <c r="A2" t="s">
        <v>260</v>
      </c>
      <c r="B2" s="143">
        <v>0.75</v>
      </c>
      <c r="C2" s="73">
        <v>0.72099999999999997</v>
      </c>
      <c r="D2" s="73">
        <v>0.72099999999999997</v>
      </c>
      <c r="E2" s="73">
        <v>0.7</v>
      </c>
      <c r="F2" s="73"/>
    </row>
    <row r="3" spans="1:6" x14ac:dyDescent="0.55000000000000004">
      <c r="A3" t="s">
        <v>260</v>
      </c>
      <c r="B3" s="111">
        <v>1.1000000000000001</v>
      </c>
      <c r="C3" s="73">
        <v>0.75</v>
      </c>
      <c r="D3" s="73">
        <v>0.75</v>
      </c>
      <c r="E3" s="73">
        <v>0.72900000000000009</v>
      </c>
      <c r="F3" s="73"/>
    </row>
    <row r="4" spans="1:6" x14ac:dyDescent="0.55000000000000004">
      <c r="A4" t="s">
        <v>260</v>
      </c>
      <c r="B4" s="111">
        <v>1.5</v>
      </c>
      <c r="C4" s="73">
        <v>0.77200000000000002</v>
      </c>
      <c r="D4" s="73">
        <v>0.77200000000000002</v>
      </c>
      <c r="E4" s="73">
        <v>0.752</v>
      </c>
      <c r="F4" s="73"/>
    </row>
    <row r="5" spans="1:6" x14ac:dyDescent="0.55000000000000004">
      <c r="A5" t="s">
        <v>260</v>
      </c>
      <c r="B5" s="111">
        <v>2.2000000000000002</v>
      </c>
      <c r="C5" s="73">
        <v>0.79700000000000004</v>
      </c>
      <c r="D5" s="73">
        <v>0.79700000000000004</v>
      </c>
      <c r="E5" s="73">
        <v>0.77700000000000002</v>
      </c>
      <c r="F5" s="73"/>
    </row>
    <row r="6" spans="1:6" x14ac:dyDescent="0.55000000000000004">
      <c r="A6" t="s">
        <v>260</v>
      </c>
      <c r="B6" s="111">
        <v>3</v>
      </c>
      <c r="C6" s="73">
        <v>0.81499999999999995</v>
      </c>
      <c r="D6" s="73">
        <v>0.81499999999999995</v>
      </c>
      <c r="E6" s="73">
        <v>0.79700000000000004</v>
      </c>
      <c r="F6" s="73"/>
    </row>
    <row r="7" spans="1:6" x14ac:dyDescent="0.55000000000000004">
      <c r="A7" t="s">
        <v>260</v>
      </c>
      <c r="B7" s="111">
        <v>3.7</v>
      </c>
      <c r="C7" s="73">
        <v>0.82700000000000007</v>
      </c>
      <c r="D7" s="73">
        <v>0.82700000000000007</v>
      </c>
      <c r="E7" s="73">
        <v>0.80900000000000005</v>
      </c>
      <c r="F7" s="73"/>
    </row>
    <row r="8" spans="1:6" x14ac:dyDescent="0.55000000000000004">
      <c r="A8" t="s">
        <v>260</v>
      </c>
      <c r="B8" s="111">
        <v>4</v>
      </c>
      <c r="C8" s="73">
        <v>0.83099999999999996</v>
      </c>
      <c r="D8" s="73">
        <v>0.83099999999999996</v>
      </c>
      <c r="E8" s="73">
        <v>0.81400000000000006</v>
      </c>
      <c r="F8" s="73"/>
    </row>
    <row r="9" spans="1:6" x14ac:dyDescent="0.55000000000000004">
      <c r="A9" t="s">
        <v>260</v>
      </c>
      <c r="B9" s="111">
        <v>5.5</v>
      </c>
      <c r="C9" s="73">
        <v>0.84699999999999998</v>
      </c>
      <c r="D9" s="73">
        <v>0.84699999999999998</v>
      </c>
      <c r="E9" s="73">
        <v>0.83099999999999996</v>
      </c>
      <c r="F9" s="73"/>
    </row>
    <row r="10" spans="1:6" x14ac:dyDescent="0.55000000000000004">
      <c r="A10" t="s">
        <v>260</v>
      </c>
      <c r="B10" s="111">
        <v>7.5</v>
      </c>
      <c r="C10" s="73">
        <v>0.86</v>
      </c>
      <c r="D10" s="73">
        <v>0.86</v>
      </c>
      <c r="E10" s="73">
        <v>0.84699999999999998</v>
      </c>
      <c r="F10" s="73"/>
    </row>
    <row r="11" spans="1:6" x14ac:dyDescent="0.55000000000000004">
      <c r="A11" t="s">
        <v>260</v>
      </c>
      <c r="B11" s="144">
        <v>11</v>
      </c>
      <c r="C11" s="73">
        <v>0.87599999999999989</v>
      </c>
      <c r="D11" s="73">
        <v>0.87599999999999989</v>
      </c>
      <c r="E11" s="73">
        <v>0.8640000000000001</v>
      </c>
      <c r="F11" s="73"/>
    </row>
    <row r="12" spans="1:6" x14ac:dyDescent="0.55000000000000004">
      <c r="A12" t="s">
        <v>260</v>
      </c>
      <c r="B12" s="144">
        <v>15</v>
      </c>
      <c r="C12" s="73">
        <v>0.88700000000000001</v>
      </c>
      <c r="D12" s="73">
        <v>0.88700000000000001</v>
      </c>
      <c r="E12" s="73">
        <v>0.877</v>
      </c>
      <c r="F12" s="73"/>
    </row>
    <row r="13" spans="1:6" x14ac:dyDescent="0.55000000000000004">
      <c r="A13" t="s">
        <v>260</v>
      </c>
      <c r="B13" s="144">
        <v>18.5</v>
      </c>
      <c r="C13" s="73">
        <v>0.89300000000000002</v>
      </c>
      <c r="D13" s="73">
        <v>0.89300000000000002</v>
      </c>
      <c r="E13" s="73">
        <v>0.8859999999999999</v>
      </c>
      <c r="F13" s="73"/>
    </row>
    <row r="14" spans="1:6" x14ac:dyDescent="0.55000000000000004">
      <c r="A14" t="s">
        <v>260</v>
      </c>
      <c r="B14" s="144">
        <v>22</v>
      </c>
      <c r="C14" s="73">
        <v>0.89900000000000002</v>
      </c>
      <c r="D14" s="73">
        <v>0.89900000000000002</v>
      </c>
      <c r="E14" s="73">
        <v>0.89200000000000002</v>
      </c>
      <c r="F14" s="73"/>
    </row>
    <row r="15" spans="1:6" x14ac:dyDescent="0.55000000000000004">
      <c r="A15" t="s">
        <v>260</v>
      </c>
      <c r="B15" s="144">
        <v>30</v>
      </c>
      <c r="C15" s="73">
        <v>0.90700000000000003</v>
      </c>
      <c r="D15" s="73">
        <v>0.90700000000000003</v>
      </c>
      <c r="E15" s="73">
        <v>0.90200000000000002</v>
      </c>
      <c r="F15" s="73"/>
    </row>
    <row r="16" spans="1:6" x14ac:dyDescent="0.55000000000000004">
      <c r="A16" t="s">
        <v>260</v>
      </c>
      <c r="B16" s="144">
        <v>37</v>
      </c>
      <c r="C16" s="73">
        <v>0.91200000000000003</v>
      </c>
      <c r="D16" s="73">
        <v>0.91200000000000003</v>
      </c>
      <c r="E16" s="73">
        <v>0.90799999999999992</v>
      </c>
      <c r="F16" s="73"/>
    </row>
    <row r="17" spans="1:6" x14ac:dyDescent="0.55000000000000004">
      <c r="A17" t="s">
        <v>260</v>
      </c>
      <c r="B17" s="144">
        <v>45</v>
      </c>
      <c r="C17" s="73">
        <v>0.91700000000000004</v>
      </c>
      <c r="D17" s="73">
        <v>0.91700000000000004</v>
      </c>
      <c r="E17" s="73">
        <v>0.91400000000000003</v>
      </c>
      <c r="F17" s="73"/>
    </row>
    <row r="18" spans="1:6" x14ac:dyDescent="0.55000000000000004">
      <c r="A18" t="s">
        <v>260</v>
      </c>
      <c r="B18" s="144">
        <v>55</v>
      </c>
      <c r="C18" s="73">
        <v>0.92099999999999993</v>
      </c>
      <c r="D18" s="73">
        <v>0.92099999999999993</v>
      </c>
      <c r="E18" s="73">
        <v>0.91900000000000004</v>
      </c>
      <c r="F18" s="73"/>
    </row>
    <row r="19" spans="1:6" x14ac:dyDescent="0.55000000000000004">
      <c r="A19" t="s">
        <v>260</v>
      </c>
      <c r="B19" s="144">
        <v>75</v>
      </c>
      <c r="C19" s="73">
        <v>0.92700000000000005</v>
      </c>
      <c r="D19" s="73">
        <v>0.92700000000000005</v>
      </c>
      <c r="E19" s="73">
        <v>0.92599999999999993</v>
      </c>
      <c r="F19" s="73"/>
    </row>
    <row r="20" spans="1:6" x14ac:dyDescent="0.55000000000000004">
      <c r="A20" t="s">
        <v>260</v>
      </c>
      <c r="B20" s="144">
        <v>90</v>
      </c>
      <c r="C20" s="73">
        <v>0.93</v>
      </c>
      <c r="D20" s="73">
        <v>0.93</v>
      </c>
      <c r="E20" s="73">
        <v>0.92900000000000005</v>
      </c>
      <c r="F20" s="73"/>
    </row>
    <row r="21" spans="1:6" x14ac:dyDescent="0.55000000000000004">
      <c r="A21" t="s">
        <v>260</v>
      </c>
      <c r="B21" s="144">
        <v>110</v>
      </c>
      <c r="C21" s="73">
        <v>0.93299999999999994</v>
      </c>
      <c r="D21" s="73">
        <v>0.93299999999999994</v>
      </c>
      <c r="E21" s="73">
        <v>0.93299999999999994</v>
      </c>
      <c r="F21" s="73"/>
    </row>
    <row r="22" spans="1:6" x14ac:dyDescent="0.55000000000000004">
      <c r="A22" t="s">
        <v>260</v>
      </c>
      <c r="B22" s="144">
        <v>132</v>
      </c>
      <c r="C22" s="73">
        <v>0.93500000000000005</v>
      </c>
      <c r="D22" s="73">
        <v>0.93500000000000005</v>
      </c>
      <c r="E22" s="73">
        <v>0.93500000000000005</v>
      </c>
      <c r="F22" s="73"/>
    </row>
    <row r="23" spans="1:6" x14ac:dyDescent="0.55000000000000004">
      <c r="A23" t="s">
        <v>260</v>
      </c>
      <c r="B23" s="144">
        <v>160</v>
      </c>
      <c r="C23" s="73">
        <v>0.93799999999999994</v>
      </c>
      <c r="D23" s="73">
        <v>0.93799999999999994</v>
      </c>
      <c r="E23" s="73">
        <v>0.93799999999999994</v>
      </c>
      <c r="F23" s="73"/>
    </row>
    <row r="24" spans="1:6" x14ac:dyDescent="0.55000000000000004">
      <c r="A24" t="s">
        <v>210</v>
      </c>
      <c r="B24" s="144">
        <v>185</v>
      </c>
      <c r="C24" s="73">
        <v>0.94</v>
      </c>
      <c r="D24" s="73">
        <v>0.94</v>
      </c>
      <c r="E24" s="73">
        <v>0.94</v>
      </c>
      <c r="F24" s="73"/>
    </row>
    <row r="25" spans="1:6" x14ac:dyDescent="0.55000000000000004">
      <c r="A25" t="s">
        <v>210</v>
      </c>
      <c r="B25" s="144">
        <v>200</v>
      </c>
      <c r="C25" s="73">
        <v>0.94</v>
      </c>
      <c r="D25" s="73">
        <v>0.94</v>
      </c>
      <c r="E25" s="73">
        <v>0.94</v>
      </c>
      <c r="F25" s="73"/>
    </row>
    <row r="26" spans="1:6" x14ac:dyDescent="0.55000000000000004">
      <c r="A26" t="s">
        <v>210</v>
      </c>
      <c r="B26" s="144">
        <v>220</v>
      </c>
      <c r="C26" s="73">
        <v>0.94</v>
      </c>
      <c r="D26" s="73">
        <v>0.94</v>
      </c>
      <c r="E26" s="73">
        <v>0.94</v>
      </c>
      <c r="F26" s="73"/>
    </row>
    <row r="27" spans="1:6" x14ac:dyDescent="0.55000000000000004">
      <c r="A27" t="s">
        <v>210</v>
      </c>
      <c r="B27" s="144">
        <v>250</v>
      </c>
      <c r="C27" s="73">
        <v>0.94</v>
      </c>
      <c r="D27" s="73">
        <v>0.94</v>
      </c>
      <c r="E27" s="73">
        <v>0.94</v>
      </c>
      <c r="F27" s="73"/>
    </row>
    <row r="28" spans="1:6" x14ac:dyDescent="0.55000000000000004">
      <c r="A28" t="s">
        <v>210</v>
      </c>
      <c r="B28" s="144">
        <v>280</v>
      </c>
      <c r="C28" s="73">
        <v>0.94</v>
      </c>
      <c r="D28" s="73">
        <v>0.94</v>
      </c>
      <c r="E28" s="73">
        <v>0.94</v>
      </c>
      <c r="F28" s="73"/>
    </row>
    <row r="29" spans="1:6" x14ac:dyDescent="0.55000000000000004">
      <c r="A29" t="s">
        <v>210</v>
      </c>
      <c r="B29" s="144">
        <v>300</v>
      </c>
      <c r="C29" s="73">
        <v>0.94</v>
      </c>
      <c r="D29" s="73">
        <v>0.94</v>
      </c>
      <c r="E29" s="73">
        <v>0.94</v>
      </c>
      <c r="F29" s="73"/>
    </row>
    <row r="30" spans="1:6" x14ac:dyDescent="0.55000000000000004">
      <c r="A30" t="s">
        <v>210</v>
      </c>
      <c r="B30" s="144">
        <v>315</v>
      </c>
      <c r="C30" s="73">
        <v>0.94</v>
      </c>
      <c r="D30" s="73">
        <v>0.94</v>
      </c>
      <c r="E30" s="73">
        <v>0.94</v>
      </c>
      <c r="F30" s="73"/>
    </row>
    <row r="31" spans="1:6" x14ac:dyDescent="0.55000000000000004">
      <c r="A31" t="s">
        <v>260</v>
      </c>
      <c r="B31" s="144">
        <v>355</v>
      </c>
      <c r="C31" s="73">
        <v>0.94</v>
      </c>
      <c r="D31" s="73">
        <v>0.94</v>
      </c>
      <c r="E31" s="73">
        <v>0.94</v>
      </c>
      <c r="F31" s="73"/>
    </row>
    <row r="32" spans="1:6" x14ac:dyDescent="0.55000000000000004">
      <c r="A32" t="s">
        <v>260</v>
      </c>
      <c r="B32" s="144">
        <v>375</v>
      </c>
      <c r="C32" s="73">
        <v>0.94</v>
      </c>
      <c r="D32" s="73">
        <v>0.94</v>
      </c>
      <c r="E32" s="73">
        <v>0.94</v>
      </c>
      <c r="F32" s="73"/>
    </row>
    <row r="33" spans="1:6" x14ac:dyDescent="0.55000000000000004">
      <c r="A33" t="s">
        <v>261</v>
      </c>
      <c r="B33" s="143">
        <v>0.75</v>
      </c>
      <c r="C33" s="73">
        <v>0.77400000000000002</v>
      </c>
      <c r="D33" s="73">
        <v>0.79599999999999993</v>
      </c>
      <c r="E33" s="73">
        <v>0.75900000000000001</v>
      </c>
      <c r="F33" s="73"/>
    </row>
    <row r="34" spans="1:6" x14ac:dyDescent="0.55000000000000004">
      <c r="A34" t="s">
        <v>261</v>
      </c>
      <c r="B34" s="111">
        <v>1.1000000000000001</v>
      </c>
      <c r="C34" s="73">
        <v>0.79599999999999993</v>
      </c>
      <c r="D34" s="73">
        <v>0.81400000000000006</v>
      </c>
      <c r="E34" s="73">
        <v>0.78099999999999992</v>
      </c>
      <c r="F34" s="73"/>
    </row>
    <row r="35" spans="1:6" x14ac:dyDescent="0.55000000000000004">
      <c r="A35" t="s">
        <v>261</v>
      </c>
      <c r="B35" s="111">
        <v>1.5</v>
      </c>
      <c r="C35" s="73">
        <v>0.81299999999999994</v>
      </c>
      <c r="D35" s="73">
        <v>0.82799999999999996</v>
      </c>
      <c r="E35" s="73">
        <v>0.79799999999999993</v>
      </c>
      <c r="F35" s="73"/>
    </row>
    <row r="36" spans="1:6" x14ac:dyDescent="0.55000000000000004">
      <c r="A36" t="s">
        <v>261</v>
      </c>
      <c r="B36" s="111">
        <v>2.2000000000000002</v>
      </c>
      <c r="C36" s="73">
        <v>0.83200000000000007</v>
      </c>
      <c r="D36" s="73">
        <v>0.84299999999999997</v>
      </c>
      <c r="E36" s="73">
        <v>0.81799999999999995</v>
      </c>
      <c r="F36" s="73"/>
    </row>
    <row r="37" spans="1:6" x14ac:dyDescent="0.55000000000000004">
      <c r="A37" t="s">
        <v>261</v>
      </c>
      <c r="B37" s="111">
        <v>3</v>
      </c>
      <c r="C37" s="73">
        <v>0.84599999999999997</v>
      </c>
      <c r="D37" s="73">
        <v>0.85499999999999998</v>
      </c>
      <c r="E37" s="73">
        <v>0.83299999999999996</v>
      </c>
      <c r="F37" s="73"/>
    </row>
    <row r="38" spans="1:6" x14ac:dyDescent="0.55000000000000004">
      <c r="A38" t="s">
        <v>261</v>
      </c>
      <c r="B38" s="111">
        <v>3.7</v>
      </c>
      <c r="C38" s="73">
        <v>0.85499999999999998</v>
      </c>
      <c r="D38" s="73">
        <v>0.86299999999999999</v>
      </c>
      <c r="E38" s="73">
        <v>0.84299999999999997</v>
      </c>
      <c r="F38" s="73"/>
    </row>
    <row r="39" spans="1:6" x14ac:dyDescent="0.55000000000000004">
      <c r="A39" t="s">
        <v>261</v>
      </c>
      <c r="B39" s="111">
        <v>4</v>
      </c>
      <c r="C39" s="73">
        <v>0.85799999999999998</v>
      </c>
      <c r="D39" s="73">
        <v>0.86599999999999999</v>
      </c>
      <c r="E39" s="73">
        <v>0.84599999999999997</v>
      </c>
      <c r="F39" s="73"/>
    </row>
    <row r="40" spans="1:6" x14ac:dyDescent="0.55000000000000004">
      <c r="A40" t="s">
        <v>261</v>
      </c>
      <c r="B40" s="111">
        <v>5.5</v>
      </c>
      <c r="C40" s="73">
        <v>0.87</v>
      </c>
      <c r="D40" s="73">
        <v>0.877</v>
      </c>
      <c r="E40" s="73">
        <v>0.86</v>
      </c>
      <c r="F40" s="73"/>
    </row>
    <row r="41" spans="1:6" x14ac:dyDescent="0.55000000000000004">
      <c r="A41" t="s">
        <v>261</v>
      </c>
      <c r="B41" s="111">
        <v>7.5</v>
      </c>
      <c r="C41" s="73">
        <v>0.88099999999999989</v>
      </c>
      <c r="D41" s="73">
        <v>0.88700000000000001</v>
      </c>
      <c r="E41" s="73">
        <v>0.872</v>
      </c>
      <c r="F41" s="73"/>
    </row>
    <row r="42" spans="1:6" x14ac:dyDescent="0.55000000000000004">
      <c r="A42" t="s">
        <v>261</v>
      </c>
      <c r="B42" s="144">
        <v>11</v>
      </c>
      <c r="C42" s="73">
        <v>0.89400000000000002</v>
      </c>
      <c r="D42" s="73">
        <v>0.89800000000000002</v>
      </c>
      <c r="E42" s="73">
        <v>0.88700000000000001</v>
      </c>
      <c r="F42" s="73"/>
    </row>
    <row r="43" spans="1:6" x14ac:dyDescent="0.55000000000000004">
      <c r="A43" t="s">
        <v>261</v>
      </c>
      <c r="B43" s="144">
        <v>15</v>
      </c>
      <c r="C43" s="73">
        <v>0.90300000000000002</v>
      </c>
      <c r="D43" s="73">
        <v>0.90599999999999992</v>
      </c>
      <c r="E43" s="73">
        <v>0.89700000000000002</v>
      </c>
      <c r="F43" s="73"/>
    </row>
    <row r="44" spans="1:6" x14ac:dyDescent="0.55000000000000004">
      <c r="A44" t="s">
        <v>261</v>
      </c>
      <c r="B44" s="144">
        <v>18.5</v>
      </c>
      <c r="C44" s="73">
        <v>0.90900000000000003</v>
      </c>
      <c r="D44" s="73">
        <v>0.91200000000000003</v>
      </c>
      <c r="E44" s="73">
        <v>0.90400000000000003</v>
      </c>
      <c r="F44" s="73"/>
    </row>
    <row r="45" spans="1:6" x14ac:dyDescent="0.55000000000000004">
      <c r="A45" t="s">
        <v>261</v>
      </c>
      <c r="B45" s="144">
        <v>22</v>
      </c>
      <c r="C45" s="73">
        <v>0.91299999999999992</v>
      </c>
      <c r="D45" s="73">
        <v>0.91599999999999993</v>
      </c>
      <c r="E45" s="73">
        <v>0.90900000000000003</v>
      </c>
      <c r="F45" s="73"/>
    </row>
    <row r="46" spans="1:6" x14ac:dyDescent="0.55000000000000004">
      <c r="A46" t="s">
        <v>261</v>
      </c>
      <c r="B46" s="144">
        <v>30</v>
      </c>
      <c r="C46" s="73">
        <v>0.92</v>
      </c>
      <c r="D46" s="73">
        <v>0.92299999999999993</v>
      </c>
      <c r="E46" s="73">
        <v>0.91700000000000004</v>
      </c>
      <c r="F46" s="73"/>
    </row>
    <row r="47" spans="1:6" x14ac:dyDescent="0.55000000000000004">
      <c r="A47" t="s">
        <v>261</v>
      </c>
      <c r="B47" s="144">
        <v>37</v>
      </c>
      <c r="C47" s="73">
        <v>0.92500000000000004</v>
      </c>
      <c r="D47" s="73">
        <v>0.92700000000000005</v>
      </c>
      <c r="E47" s="73">
        <v>0.92200000000000004</v>
      </c>
      <c r="F47" s="73"/>
    </row>
    <row r="48" spans="1:6" x14ac:dyDescent="0.55000000000000004">
      <c r="A48" t="s">
        <v>261</v>
      </c>
      <c r="B48" s="144">
        <v>45</v>
      </c>
      <c r="C48" s="73">
        <v>0.92900000000000005</v>
      </c>
      <c r="D48" s="73">
        <v>0.93099999999999994</v>
      </c>
      <c r="E48" s="73">
        <v>0.92700000000000005</v>
      </c>
      <c r="F48" s="73"/>
    </row>
    <row r="49" spans="1:6" x14ac:dyDescent="0.55000000000000004">
      <c r="A49" t="s">
        <v>261</v>
      </c>
      <c r="B49" s="144">
        <v>55</v>
      </c>
      <c r="C49" s="73">
        <v>0.93200000000000005</v>
      </c>
      <c r="D49" s="73">
        <v>0.93500000000000005</v>
      </c>
      <c r="E49" s="73">
        <v>0.93099999999999994</v>
      </c>
      <c r="F49" s="73"/>
    </row>
    <row r="50" spans="1:6" x14ac:dyDescent="0.55000000000000004">
      <c r="A50" t="s">
        <v>261</v>
      </c>
      <c r="B50" s="144">
        <v>75</v>
      </c>
      <c r="C50" s="73">
        <v>0.93799999999999994</v>
      </c>
      <c r="D50" s="73">
        <v>0.94</v>
      </c>
      <c r="E50" s="73">
        <v>0.93700000000000006</v>
      </c>
      <c r="F50" s="73"/>
    </row>
    <row r="51" spans="1:6" x14ac:dyDescent="0.55000000000000004">
      <c r="A51" t="s">
        <v>261</v>
      </c>
      <c r="B51" s="144">
        <v>90</v>
      </c>
      <c r="C51" s="73">
        <v>0.94099999999999995</v>
      </c>
      <c r="D51" s="73">
        <v>0.94200000000000006</v>
      </c>
      <c r="E51" s="73">
        <v>0.94</v>
      </c>
      <c r="F51" s="73"/>
    </row>
    <row r="52" spans="1:6" x14ac:dyDescent="0.55000000000000004">
      <c r="A52" t="s">
        <v>261</v>
      </c>
      <c r="B52" s="144">
        <v>110</v>
      </c>
      <c r="C52" s="73">
        <v>0.94299999999999995</v>
      </c>
      <c r="D52" s="73">
        <v>0.94499999999999995</v>
      </c>
      <c r="E52" s="73">
        <v>0.94299999999999995</v>
      </c>
      <c r="F52" s="73"/>
    </row>
    <row r="53" spans="1:6" x14ac:dyDescent="0.55000000000000004">
      <c r="A53" t="s">
        <v>261</v>
      </c>
      <c r="B53" s="144">
        <v>132</v>
      </c>
      <c r="C53" s="73">
        <v>0.94599999999999995</v>
      </c>
      <c r="D53" s="73">
        <v>0.94700000000000006</v>
      </c>
      <c r="E53" s="73">
        <v>0.94599999999999995</v>
      </c>
      <c r="F53" s="73"/>
    </row>
    <row r="54" spans="1:6" x14ac:dyDescent="0.55000000000000004">
      <c r="A54" t="s">
        <v>261</v>
      </c>
      <c r="B54" s="144">
        <v>160</v>
      </c>
      <c r="C54" s="73">
        <v>0.94799999999999995</v>
      </c>
      <c r="D54" s="73">
        <v>0.94900000000000007</v>
      </c>
      <c r="E54" s="73">
        <v>0.94799999999999995</v>
      </c>
      <c r="F54" s="73"/>
    </row>
    <row r="55" spans="1:6" x14ac:dyDescent="0.55000000000000004">
      <c r="A55" t="s">
        <v>261</v>
      </c>
      <c r="B55" s="144">
        <v>185</v>
      </c>
      <c r="C55" s="73">
        <v>0.95</v>
      </c>
      <c r="D55" s="73">
        <v>0.95099999999999996</v>
      </c>
      <c r="E55" s="73">
        <v>0.95</v>
      </c>
      <c r="F55" s="73"/>
    </row>
    <row r="56" spans="1:6" x14ac:dyDescent="0.55000000000000004">
      <c r="A56" t="s">
        <v>261</v>
      </c>
      <c r="B56" s="144">
        <v>200</v>
      </c>
      <c r="C56" s="73">
        <v>0.95</v>
      </c>
      <c r="D56" s="73">
        <v>0.95099999999999996</v>
      </c>
      <c r="E56" s="73">
        <v>0.95</v>
      </c>
      <c r="F56" s="73"/>
    </row>
    <row r="57" spans="1:6" x14ac:dyDescent="0.55000000000000004">
      <c r="A57" t="s">
        <v>261</v>
      </c>
      <c r="B57" s="144">
        <v>220</v>
      </c>
      <c r="C57" s="73">
        <v>0.95</v>
      </c>
      <c r="D57" s="73">
        <v>0.95099999999999996</v>
      </c>
      <c r="E57" s="73">
        <v>0.95</v>
      </c>
      <c r="F57" s="73"/>
    </row>
    <row r="58" spans="1:6" x14ac:dyDescent="0.55000000000000004">
      <c r="A58" t="s">
        <v>261</v>
      </c>
      <c r="B58" s="144">
        <v>250</v>
      </c>
      <c r="C58" s="73">
        <v>0.95</v>
      </c>
      <c r="D58" s="73">
        <v>0.95099999999999996</v>
      </c>
      <c r="E58" s="73">
        <v>0.95</v>
      </c>
      <c r="F58" s="73"/>
    </row>
    <row r="59" spans="1:6" x14ac:dyDescent="0.55000000000000004">
      <c r="A59" t="s">
        <v>261</v>
      </c>
      <c r="B59" s="144">
        <v>280</v>
      </c>
      <c r="C59" s="73">
        <v>0.95</v>
      </c>
      <c r="D59" s="73">
        <v>0.95099999999999996</v>
      </c>
      <c r="E59" s="73">
        <v>0.95</v>
      </c>
      <c r="F59" s="73"/>
    </row>
    <row r="60" spans="1:6" x14ac:dyDescent="0.55000000000000004">
      <c r="A60" t="s">
        <v>261</v>
      </c>
      <c r="B60" s="144">
        <v>300</v>
      </c>
      <c r="C60" s="73">
        <v>0.95</v>
      </c>
      <c r="D60" s="73">
        <v>0.95099999999999996</v>
      </c>
      <c r="E60" s="73">
        <v>0.95</v>
      </c>
      <c r="F60" s="73"/>
    </row>
    <row r="61" spans="1:6" x14ac:dyDescent="0.55000000000000004">
      <c r="A61" t="s">
        <v>261</v>
      </c>
      <c r="B61" s="144">
        <v>315</v>
      </c>
      <c r="C61" s="73">
        <v>0.95</v>
      </c>
      <c r="D61" s="73">
        <v>0.95099999999999996</v>
      </c>
      <c r="E61" s="73">
        <v>0.95</v>
      </c>
      <c r="F61" s="73"/>
    </row>
    <row r="62" spans="1:6" x14ac:dyDescent="0.55000000000000004">
      <c r="A62" t="s">
        <v>261</v>
      </c>
      <c r="B62" s="144">
        <v>355</v>
      </c>
      <c r="C62" s="73">
        <v>0.95</v>
      </c>
      <c r="D62" s="73">
        <v>0.95099999999999996</v>
      </c>
      <c r="E62" s="73">
        <v>0.95</v>
      </c>
      <c r="F62" s="73"/>
    </row>
    <row r="63" spans="1:6" x14ac:dyDescent="0.55000000000000004">
      <c r="A63" t="s">
        <v>261</v>
      </c>
      <c r="B63" s="144">
        <v>375</v>
      </c>
      <c r="C63" s="73">
        <v>0.95</v>
      </c>
      <c r="D63" s="73">
        <v>0.95099999999999996</v>
      </c>
      <c r="E63" s="73">
        <v>0.95</v>
      </c>
      <c r="F63" s="73"/>
    </row>
    <row r="64" spans="1:6" x14ac:dyDescent="0.55000000000000004">
      <c r="A64" t="s">
        <v>262</v>
      </c>
      <c r="B64" s="143">
        <v>0.75</v>
      </c>
      <c r="C64" s="73">
        <v>0.80700000000000005</v>
      </c>
      <c r="D64" s="73">
        <v>0.82499999999999996</v>
      </c>
      <c r="E64" s="73">
        <v>0.78900000000000003</v>
      </c>
      <c r="F64" s="73"/>
    </row>
    <row r="65" spans="1:6" x14ac:dyDescent="0.55000000000000004">
      <c r="A65" t="s">
        <v>262</v>
      </c>
      <c r="B65" s="111">
        <v>1.1000000000000001</v>
      </c>
      <c r="C65" s="73">
        <v>0.82700000000000007</v>
      </c>
      <c r="D65" s="73">
        <v>0.84099999999999997</v>
      </c>
      <c r="E65" s="73">
        <v>0.81</v>
      </c>
      <c r="F65" s="73"/>
    </row>
    <row r="66" spans="1:6" x14ac:dyDescent="0.55000000000000004">
      <c r="A66" t="s">
        <v>262</v>
      </c>
      <c r="B66" s="111">
        <v>1.5</v>
      </c>
      <c r="C66" s="73">
        <v>0.84200000000000008</v>
      </c>
      <c r="D66" s="73">
        <v>0.85299999999999998</v>
      </c>
      <c r="E66" s="73">
        <v>0.82499999999999996</v>
      </c>
      <c r="F66" s="73"/>
    </row>
    <row r="67" spans="1:6" x14ac:dyDescent="0.55000000000000004">
      <c r="A67" t="s">
        <v>262</v>
      </c>
      <c r="B67" s="111">
        <v>2.2000000000000002</v>
      </c>
      <c r="C67" s="73">
        <v>0.8590000000000001</v>
      </c>
      <c r="D67" s="73">
        <v>0.86699999999999999</v>
      </c>
      <c r="E67" s="73">
        <v>0.84299999999999997</v>
      </c>
      <c r="F67" s="73"/>
    </row>
    <row r="68" spans="1:6" x14ac:dyDescent="0.55000000000000004">
      <c r="A68" t="s">
        <v>262</v>
      </c>
      <c r="B68" s="111">
        <v>3</v>
      </c>
      <c r="C68" s="73">
        <v>0.871</v>
      </c>
      <c r="D68" s="73">
        <v>0.877</v>
      </c>
      <c r="E68" s="73">
        <v>0.85599999999999998</v>
      </c>
      <c r="F68" s="73"/>
    </row>
    <row r="69" spans="1:6" x14ac:dyDescent="0.55000000000000004">
      <c r="A69" t="s">
        <v>262</v>
      </c>
      <c r="B69" s="111">
        <v>3.7</v>
      </c>
      <c r="C69" s="73">
        <v>0.878</v>
      </c>
      <c r="D69" s="73">
        <v>0.88400000000000001</v>
      </c>
      <c r="E69" s="73">
        <v>0.86499999999999999</v>
      </c>
      <c r="F69" s="73"/>
    </row>
    <row r="70" spans="1:6" x14ac:dyDescent="0.55000000000000004">
      <c r="A70" t="s">
        <v>262</v>
      </c>
      <c r="B70" s="111">
        <v>4</v>
      </c>
      <c r="C70" s="73">
        <v>0.88099999999999989</v>
      </c>
      <c r="D70" s="73">
        <v>0.8859999999999999</v>
      </c>
      <c r="E70" s="73">
        <v>0.86799999999999999</v>
      </c>
      <c r="F70" s="73"/>
    </row>
    <row r="71" spans="1:6" x14ac:dyDescent="0.55000000000000004">
      <c r="A71" t="s">
        <v>262</v>
      </c>
      <c r="B71" s="111">
        <v>5.5</v>
      </c>
      <c r="C71" s="73">
        <v>0.89200000000000002</v>
      </c>
      <c r="D71" s="73">
        <v>0.89599999999999991</v>
      </c>
      <c r="E71" s="73">
        <v>0.88</v>
      </c>
      <c r="F71" s="73"/>
    </row>
    <row r="72" spans="1:6" x14ac:dyDescent="0.55000000000000004">
      <c r="A72" t="s">
        <v>262</v>
      </c>
      <c r="B72" s="111">
        <v>7.5</v>
      </c>
      <c r="C72" s="73">
        <v>0.90099999999999991</v>
      </c>
      <c r="D72" s="73">
        <v>0.90400000000000003</v>
      </c>
      <c r="E72" s="73">
        <v>0.8909999999999999</v>
      </c>
      <c r="F72" s="73"/>
    </row>
    <row r="73" spans="1:6" x14ac:dyDescent="0.55000000000000004">
      <c r="A73" t="s">
        <v>262</v>
      </c>
      <c r="B73" s="144">
        <v>11</v>
      </c>
      <c r="C73" s="73">
        <v>0.91200000000000003</v>
      </c>
      <c r="D73" s="73">
        <v>0.91400000000000003</v>
      </c>
      <c r="E73" s="73">
        <v>0.90300000000000002</v>
      </c>
      <c r="F73" s="73"/>
    </row>
    <row r="74" spans="1:6" x14ac:dyDescent="0.55000000000000004">
      <c r="A74" t="s">
        <v>262</v>
      </c>
      <c r="B74" s="144">
        <v>15</v>
      </c>
      <c r="C74" s="73">
        <v>0.91900000000000004</v>
      </c>
      <c r="D74" s="73">
        <v>0.92099999999999993</v>
      </c>
      <c r="E74" s="73">
        <v>0.91200000000000003</v>
      </c>
      <c r="F74" s="73"/>
    </row>
    <row r="75" spans="1:6" x14ac:dyDescent="0.55000000000000004">
      <c r="A75" t="s">
        <v>262</v>
      </c>
      <c r="B75" s="144">
        <v>18.5</v>
      </c>
      <c r="C75" s="73">
        <v>0.92400000000000004</v>
      </c>
      <c r="D75" s="73">
        <v>0.92599999999999993</v>
      </c>
      <c r="E75" s="73">
        <v>0.91700000000000004</v>
      </c>
      <c r="F75" s="73"/>
    </row>
    <row r="76" spans="1:6" x14ac:dyDescent="0.55000000000000004">
      <c r="A76" t="s">
        <v>262</v>
      </c>
      <c r="B76" s="144">
        <v>22</v>
      </c>
      <c r="C76" s="73">
        <v>0.92700000000000005</v>
      </c>
      <c r="D76" s="73">
        <v>0.93</v>
      </c>
      <c r="E76" s="73">
        <v>0.92200000000000004</v>
      </c>
      <c r="F76" s="73"/>
    </row>
    <row r="77" spans="1:6" x14ac:dyDescent="0.55000000000000004">
      <c r="A77" t="s">
        <v>262</v>
      </c>
      <c r="B77" s="144">
        <v>30</v>
      </c>
      <c r="C77" s="73">
        <v>0.93299999999999994</v>
      </c>
      <c r="D77" s="73">
        <v>0.93599999999999994</v>
      </c>
      <c r="E77" s="73">
        <v>0.92900000000000005</v>
      </c>
      <c r="F77" s="73"/>
    </row>
    <row r="78" spans="1:6" x14ac:dyDescent="0.55000000000000004">
      <c r="A78" t="s">
        <v>262</v>
      </c>
      <c r="B78" s="144">
        <v>37</v>
      </c>
      <c r="C78" s="73">
        <v>0.93700000000000006</v>
      </c>
      <c r="D78" s="73">
        <v>0.93900000000000006</v>
      </c>
      <c r="E78" s="73">
        <v>0.93299999999999994</v>
      </c>
      <c r="F78" s="73"/>
    </row>
    <row r="79" spans="1:6" x14ac:dyDescent="0.55000000000000004">
      <c r="A79" t="s">
        <v>262</v>
      </c>
      <c r="B79" s="144">
        <v>45</v>
      </c>
      <c r="C79" s="73">
        <v>0.94</v>
      </c>
      <c r="D79" s="73">
        <v>0.94200000000000006</v>
      </c>
      <c r="E79" s="73">
        <v>0.93700000000000006</v>
      </c>
      <c r="F79" s="73"/>
    </row>
    <row r="80" spans="1:6" x14ac:dyDescent="0.55000000000000004">
      <c r="A80" t="s">
        <v>262</v>
      </c>
      <c r="B80" s="144">
        <v>55</v>
      </c>
      <c r="C80" s="73">
        <v>0.94299999999999995</v>
      </c>
      <c r="D80" s="73">
        <v>0.94599999999999995</v>
      </c>
      <c r="E80" s="73">
        <v>0.94099999999999995</v>
      </c>
      <c r="F80" s="73"/>
    </row>
    <row r="81" spans="1:6" x14ac:dyDescent="0.55000000000000004">
      <c r="A81" t="s">
        <v>262</v>
      </c>
      <c r="B81" s="144">
        <v>75</v>
      </c>
      <c r="C81" s="73">
        <v>0.94700000000000006</v>
      </c>
      <c r="D81" s="73">
        <v>0.95</v>
      </c>
      <c r="E81" s="73">
        <v>0.94599999999999995</v>
      </c>
      <c r="F81" s="73"/>
    </row>
    <row r="82" spans="1:6" x14ac:dyDescent="0.55000000000000004">
      <c r="A82" t="s">
        <v>262</v>
      </c>
      <c r="B82" s="144">
        <v>90</v>
      </c>
      <c r="C82" s="73">
        <v>0.95</v>
      </c>
      <c r="D82" s="73">
        <v>0.95200000000000007</v>
      </c>
      <c r="E82" s="73">
        <v>0.94900000000000007</v>
      </c>
      <c r="F82" s="73"/>
    </row>
    <row r="83" spans="1:6" x14ac:dyDescent="0.55000000000000004">
      <c r="A83" t="s">
        <v>262</v>
      </c>
      <c r="B83" s="144">
        <v>110</v>
      </c>
      <c r="C83" s="73">
        <v>0.95200000000000007</v>
      </c>
      <c r="D83" s="73">
        <v>0.95400000000000007</v>
      </c>
      <c r="E83" s="73">
        <v>0.95099999999999996</v>
      </c>
      <c r="F83" s="73"/>
    </row>
    <row r="84" spans="1:6" x14ac:dyDescent="0.55000000000000004">
      <c r="A84" t="s">
        <v>262</v>
      </c>
      <c r="B84" s="144">
        <v>132</v>
      </c>
      <c r="C84" s="73">
        <v>0.95400000000000007</v>
      </c>
      <c r="D84" s="73">
        <v>0.95599999999999996</v>
      </c>
      <c r="E84" s="73">
        <v>0.95400000000000007</v>
      </c>
      <c r="F84" s="73"/>
    </row>
    <row r="85" spans="1:6" x14ac:dyDescent="0.55000000000000004">
      <c r="A85" t="s">
        <v>262</v>
      </c>
      <c r="B85" s="144">
        <v>160</v>
      </c>
      <c r="C85" s="73">
        <v>0.95599999999999996</v>
      </c>
      <c r="D85" s="73">
        <v>0.95799999999999996</v>
      </c>
      <c r="E85" s="73">
        <v>0.95599999999999996</v>
      </c>
      <c r="F85" s="73"/>
    </row>
    <row r="86" spans="1:6" x14ac:dyDescent="0.55000000000000004">
      <c r="A86" t="s">
        <v>262</v>
      </c>
      <c r="B86" s="144">
        <v>185</v>
      </c>
      <c r="C86" s="73">
        <v>0.95799999999999996</v>
      </c>
      <c r="D86" s="73">
        <v>0.96</v>
      </c>
      <c r="E86" s="73">
        <v>0.95799999999999996</v>
      </c>
      <c r="F86" s="73"/>
    </row>
    <row r="87" spans="1:6" x14ac:dyDescent="0.55000000000000004">
      <c r="A87" t="s">
        <v>262</v>
      </c>
      <c r="B87" s="144">
        <v>200</v>
      </c>
      <c r="C87" s="73">
        <v>0.95799999999999996</v>
      </c>
      <c r="D87" s="73">
        <v>0.96</v>
      </c>
      <c r="E87" s="73">
        <v>0.95799999999999996</v>
      </c>
      <c r="F87" s="73"/>
    </row>
    <row r="88" spans="1:6" x14ac:dyDescent="0.55000000000000004">
      <c r="A88" t="s">
        <v>262</v>
      </c>
      <c r="B88" s="144">
        <v>220</v>
      </c>
      <c r="C88" s="73">
        <v>0.95799999999999996</v>
      </c>
      <c r="D88" s="73">
        <v>0.96</v>
      </c>
      <c r="E88" s="73">
        <v>0.95799999999999996</v>
      </c>
      <c r="F88" s="73"/>
    </row>
    <row r="89" spans="1:6" x14ac:dyDescent="0.55000000000000004">
      <c r="A89" t="s">
        <v>262</v>
      </c>
      <c r="B89" s="144">
        <v>250</v>
      </c>
      <c r="C89" s="73">
        <v>0.95799999999999996</v>
      </c>
      <c r="D89" s="73">
        <v>0.96</v>
      </c>
      <c r="E89" s="73">
        <v>0.95799999999999996</v>
      </c>
      <c r="F89" s="73"/>
    </row>
    <row r="90" spans="1:6" x14ac:dyDescent="0.55000000000000004">
      <c r="A90" t="s">
        <v>262</v>
      </c>
      <c r="B90" s="144">
        <v>280</v>
      </c>
      <c r="C90" s="73">
        <v>0.95799999999999996</v>
      </c>
      <c r="D90" s="73">
        <v>0.96</v>
      </c>
      <c r="E90" s="73">
        <v>0.95799999999999996</v>
      </c>
      <c r="F90" s="73"/>
    </row>
    <row r="91" spans="1:6" x14ac:dyDescent="0.55000000000000004">
      <c r="A91" t="s">
        <v>262</v>
      </c>
      <c r="B91" s="144">
        <v>300</v>
      </c>
      <c r="C91" s="73">
        <v>0.95799999999999996</v>
      </c>
      <c r="D91" s="73">
        <v>0.96</v>
      </c>
      <c r="E91" s="73">
        <v>0.95799999999999996</v>
      </c>
      <c r="F91" s="73"/>
    </row>
    <row r="92" spans="1:6" x14ac:dyDescent="0.55000000000000004">
      <c r="A92" t="s">
        <v>262</v>
      </c>
      <c r="B92" s="144">
        <v>315</v>
      </c>
      <c r="C92" s="73">
        <v>0.95799999999999996</v>
      </c>
      <c r="D92" s="73">
        <v>0.96</v>
      </c>
      <c r="E92" s="73">
        <v>0.95799999999999996</v>
      </c>
      <c r="F92" s="73"/>
    </row>
    <row r="93" spans="1:6" x14ac:dyDescent="0.55000000000000004">
      <c r="A93" t="s">
        <v>262</v>
      </c>
      <c r="B93" s="144">
        <v>355</v>
      </c>
      <c r="C93" s="73">
        <v>0.95799999999999996</v>
      </c>
      <c r="D93" s="73">
        <v>0.96</v>
      </c>
      <c r="E93" s="73">
        <v>0.95799999999999996</v>
      </c>
      <c r="F93" s="73"/>
    </row>
    <row r="94" spans="1:6" x14ac:dyDescent="0.55000000000000004">
      <c r="A94" t="s">
        <v>262</v>
      </c>
      <c r="B94" s="144">
        <v>375</v>
      </c>
      <c r="C94" s="73">
        <v>0.95799999999999996</v>
      </c>
      <c r="D94" s="73">
        <v>0.96</v>
      </c>
      <c r="E94" s="73">
        <v>0.95799999999999996</v>
      </c>
      <c r="F94" s="73"/>
    </row>
    <row r="95" spans="1:6" x14ac:dyDescent="0.55000000000000004">
      <c r="A95" t="s">
        <v>263</v>
      </c>
      <c r="B95" s="143">
        <v>0.75</v>
      </c>
      <c r="C95" s="73">
        <v>0.83499999999999996</v>
      </c>
      <c r="D95" s="73">
        <v>0.85699999999999998</v>
      </c>
      <c r="E95" s="73">
        <v>0.82700000000000007</v>
      </c>
      <c r="F95" s="73">
        <v>0.78400000000000003</v>
      </c>
    </row>
    <row r="96" spans="1:6" x14ac:dyDescent="0.55000000000000004">
      <c r="A96" t="s">
        <v>263</v>
      </c>
      <c r="B96" s="111">
        <v>1.1000000000000001</v>
      </c>
      <c r="C96" s="73">
        <v>0.85199999999999998</v>
      </c>
      <c r="D96" s="73">
        <v>0.872</v>
      </c>
      <c r="E96" s="73">
        <v>0.84499999999999997</v>
      </c>
      <c r="F96" s="73">
        <v>0.80799999999999994</v>
      </c>
    </row>
    <row r="97" spans="1:6" x14ac:dyDescent="0.55000000000000004">
      <c r="A97" t="s">
        <v>263</v>
      </c>
      <c r="B97" s="111">
        <v>1.5</v>
      </c>
      <c r="C97" s="73">
        <v>0.86499999999999999</v>
      </c>
      <c r="D97" s="73">
        <v>0.88200000000000001</v>
      </c>
      <c r="E97" s="73">
        <v>0.8590000000000001</v>
      </c>
      <c r="F97" s="73">
        <v>0.82599999999999996</v>
      </c>
    </row>
    <row r="98" spans="1:6" x14ac:dyDescent="0.55000000000000004">
      <c r="A98" t="s">
        <v>263</v>
      </c>
      <c r="B98" s="111">
        <v>2.2000000000000002</v>
      </c>
      <c r="C98" s="73">
        <v>0.88</v>
      </c>
      <c r="D98" s="73">
        <v>0.89500000000000002</v>
      </c>
      <c r="E98" s="73">
        <v>0.87400000000000011</v>
      </c>
      <c r="F98" s="73">
        <v>0.84499999999999997</v>
      </c>
    </row>
    <row r="99" spans="1:6" x14ac:dyDescent="0.55000000000000004">
      <c r="A99" t="s">
        <v>263</v>
      </c>
      <c r="B99" s="111">
        <v>3</v>
      </c>
      <c r="C99" s="73">
        <v>0.8909999999999999</v>
      </c>
      <c r="D99" s="73">
        <v>0.90400000000000003</v>
      </c>
      <c r="E99" s="73">
        <v>0.8859999999999999</v>
      </c>
      <c r="F99" s="73">
        <v>0.8590000000000001</v>
      </c>
    </row>
    <row r="100" spans="1:6" x14ac:dyDescent="0.55000000000000004">
      <c r="A100" t="s">
        <v>263</v>
      </c>
      <c r="B100" s="111">
        <v>3.7</v>
      </c>
      <c r="C100" s="73">
        <v>0.89700000000000002</v>
      </c>
      <c r="D100" s="73">
        <v>0.90900000000000003</v>
      </c>
      <c r="E100" s="73">
        <v>0.89300000000000002</v>
      </c>
      <c r="F100" s="73">
        <v>0.86799999999999999</v>
      </c>
    </row>
    <row r="101" spans="1:6" x14ac:dyDescent="0.55000000000000004">
      <c r="A101" t="s">
        <v>263</v>
      </c>
      <c r="B101" s="111">
        <v>4</v>
      </c>
      <c r="C101" s="73">
        <v>0.9</v>
      </c>
      <c r="D101" s="73">
        <v>0.91099999999999992</v>
      </c>
      <c r="E101" s="73">
        <v>0.89500000000000002</v>
      </c>
      <c r="F101" s="73">
        <v>0.871</v>
      </c>
    </row>
    <row r="102" spans="1:6" x14ac:dyDescent="0.55000000000000004">
      <c r="A102" t="s">
        <v>263</v>
      </c>
      <c r="B102" s="111">
        <v>5.5</v>
      </c>
      <c r="C102" s="73">
        <v>0.90900000000000003</v>
      </c>
      <c r="D102" s="73">
        <v>0.91900000000000004</v>
      </c>
      <c r="E102" s="73">
        <v>0.90500000000000003</v>
      </c>
      <c r="F102" s="73">
        <v>0.88300000000000001</v>
      </c>
    </row>
    <row r="103" spans="1:6" x14ac:dyDescent="0.55000000000000004">
      <c r="A103" t="s">
        <v>263</v>
      </c>
      <c r="B103" s="111">
        <v>7.5</v>
      </c>
      <c r="C103" s="73">
        <v>0.91700000000000004</v>
      </c>
      <c r="D103" s="73">
        <v>0.92599999999999993</v>
      </c>
      <c r="E103" s="73">
        <v>0.91299999999999992</v>
      </c>
      <c r="F103" s="73">
        <v>0.89300000000000002</v>
      </c>
    </row>
    <row r="104" spans="1:6" x14ac:dyDescent="0.55000000000000004">
      <c r="A104" t="s">
        <v>263</v>
      </c>
      <c r="B104" s="144">
        <v>11</v>
      </c>
      <c r="C104" s="73">
        <v>0.92599999999999993</v>
      </c>
      <c r="D104" s="73">
        <v>0.93299999999999994</v>
      </c>
      <c r="E104" s="73">
        <v>0.92299999999999993</v>
      </c>
      <c r="F104" s="73">
        <v>0.90400000000000003</v>
      </c>
    </row>
    <row r="105" spans="1:6" x14ac:dyDescent="0.55000000000000004">
      <c r="A105" t="s">
        <v>263</v>
      </c>
      <c r="B105" s="144">
        <v>15</v>
      </c>
      <c r="C105" s="73">
        <v>0.93299999999999994</v>
      </c>
      <c r="D105" s="73">
        <v>0.93900000000000006</v>
      </c>
      <c r="E105" s="73">
        <v>0.92900000000000005</v>
      </c>
      <c r="F105" s="73">
        <v>0.91200000000000003</v>
      </c>
    </row>
    <row r="106" spans="1:6" x14ac:dyDescent="0.55000000000000004">
      <c r="A106" t="s">
        <v>263</v>
      </c>
      <c r="B106" s="144">
        <v>18.5</v>
      </c>
      <c r="C106" s="73">
        <v>0.93700000000000006</v>
      </c>
      <c r="D106" s="73">
        <v>0.94200000000000006</v>
      </c>
      <c r="E106" s="73">
        <v>0.93400000000000005</v>
      </c>
      <c r="F106" s="73">
        <v>0.91700000000000004</v>
      </c>
    </row>
    <row r="107" spans="1:6" x14ac:dyDescent="0.55000000000000004">
      <c r="A107" t="s">
        <v>263</v>
      </c>
      <c r="B107" s="144">
        <v>22</v>
      </c>
      <c r="C107" s="73">
        <v>0.94</v>
      </c>
      <c r="D107" s="73">
        <v>0.94499999999999995</v>
      </c>
      <c r="E107" s="73">
        <v>0.93700000000000006</v>
      </c>
      <c r="F107" s="73">
        <v>0.92099999999999993</v>
      </c>
    </row>
    <row r="108" spans="1:6" x14ac:dyDescent="0.55000000000000004">
      <c r="A108" t="s">
        <v>263</v>
      </c>
      <c r="B108" s="144">
        <v>30</v>
      </c>
      <c r="C108" s="73">
        <v>0.94499999999999995</v>
      </c>
      <c r="D108" s="73">
        <v>0.94900000000000007</v>
      </c>
      <c r="E108" s="73">
        <v>0.94200000000000006</v>
      </c>
      <c r="F108" s="73">
        <v>0.92700000000000005</v>
      </c>
    </row>
    <row r="109" spans="1:6" x14ac:dyDescent="0.55000000000000004">
      <c r="A109" t="s">
        <v>263</v>
      </c>
      <c r="B109" s="144">
        <v>37</v>
      </c>
      <c r="C109" s="73">
        <v>0.94799999999999995</v>
      </c>
      <c r="D109" s="73">
        <v>0.95200000000000007</v>
      </c>
      <c r="E109" s="73">
        <v>0.94499999999999995</v>
      </c>
      <c r="F109" s="73">
        <v>0.93099999999999994</v>
      </c>
    </row>
    <row r="110" spans="1:6" x14ac:dyDescent="0.55000000000000004">
      <c r="A110" t="s">
        <v>263</v>
      </c>
      <c r="B110" s="144">
        <v>45</v>
      </c>
      <c r="C110" s="73">
        <v>0.95</v>
      </c>
      <c r="D110" s="73">
        <v>0.95400000000000007</v>
      </c>
      <c r="E110" s="73">
        <v>0.94799999999999995</v>
      </c>
      <c r="F110" s="73">
        <v>0.93400000000000005</v>
      </c>
    </row>
    <row r="111" spans="1:6" x14ac:dyDescent="0.55000000000000004">
      <c r="A111" t="s">
        <v>263</v>
      </c>
      <c r="B111" s="144">
        <v>55</v>
      </c>
      <c r="C111" s="73">
        <v>0.95299999999999996</v>
      </c>
      <c r="D111" s="73">
        <v>0.95700000000000007</v>
      </c>
      <c r="E111" s="73">
        <v>0.95099999999999996</v>
      </c>
      <c r="F111" s="73">
        <v>0.93700000000000006</v>
      </c>
    </row>
    <row r="112" spans="1:6" x14ac:dyDescent="0.55000000000000004">
      <c r="A112" t="s">
        <v>263</v>
      </c>
      <c r="B112" s="144">
        <v>75</v>
      </c>
      <c r="C112" s="73">
        <v>0.95599999999999996</v>
      </c>
      <c r="D112" s="73">
        <v>0.96</v>
      </c>
      <c r="E112" s="73">
        <v>0.95400000000000007</v>
      </c>
      <c r="F112" s="73">
        <v>0.94200000000000006</v>
      </c>
    </row>
    <row r="113" spans="1:6" x14ac:dyDescent="0.55000000000000004">
      <c r="A113" t="s">
        <v>263</v>
      </c>
      <c r="B113" s="144">
        <v>90</v>
      </c>
      <c r="C113" s="73">
        <v>0.95799999999999996</v>
      </c>
      <c r="D113" s="73">
        <v>0.96099999999999997</v>
      </c>
      <c r="E113" s="73">
        <v>0.95599999999999996</v>
      </c>
      <c r="F113" s="73">
        <v>0.94400000000000006</v>
      </c>
    </row>
    <row r="114" spans="1:6" x14ac:dyDescent="0.55000000000000004">
      <c r="A114" t="s">
        <v>263</v>
      </c>
      <c r="B114" s="144">
        <v>110</v>
      </c>
      <c r="C114" s="73">
        <v>0.96</v>
      </c>
      <c r="D114" s="73">
        <v>0.96299999999999997</v>
      </c>
      <c r="E114" s="73">
        <v>0.95799999999999996</v>
      </c>
      <c r="F114" s="73">
        <v>0.94700000000000006</v>
      </c>
    </row>
    <row r="115" spans="1:6" x14ac:dyDescent="0.55000000000000004">
      <c r="A115" t="s">
        <v>263</v>
      </c>
      <c r="B115" s="144">
        <v>132</v>
      </c>
      <c r="C115" s="73">
        <v>0.96200000000000008</v>
      </c>
      <c r="D115" s="73">
        <v>0.96400000000000008</v>
      </c>
      <c r="E115" s="73">
        <v>0.96</v>
      </c>
      <c r="F115" s="73">
        <v>0.94900000000000007</v>
      </c>
    </row>
    <row r="116" spans="1:6" x14ac:dyDescent="0.55000000000000004">
      <c r="A116" t="s">
        <v>263</v>
      </c>
      <c r="B116" s="144">
        <v>160</v>
      </c>
      <c r="C116" s="73">
        <v>0.96299999999999997</v>
      </c>
      <c r="D116" s="73">
        <v>0.96599999999999997</v>
      </c>
      <c r="E116" s="73">
        <v>0.96200000000000008</v>
      </c>
      <c r="F116" s="73">
        <v>0.95099999999999996</v>
      </c>
    </row>
    <row r="117" spans="1:6" x14ac:dyDescent="0.55000000000000004">
      <c r="A117" t="s">
        <v>263</v>
      </c>
      <c r="B117" s="144">
        <v>200</v>
      </c>
      <c r="C117" s="73">
        <v>0.96499999999999997</v>
      </c>
      <c r="D117" s="73">
        <v>0.96700000000000008</v>
      </c>
      <c r="E117" s="73">
        <v>0.96299999999999997</v>
      </c>
      <c r="F117" s="73">
        <v>0.95400000000000007</v>
      </c>
    </row>
    <row r="118" spans="1:6" x14ac:dyDescent="0.55000000000000004">
      <c r="A118" t="s">
        <v>263</v>
      </c>
      <c r="B118" s="144">
        <v>250</v>
      </c>
      <c r="C118" s="73">
        <v>0.96499999999999997</v>
      </c>
      <c r="D118" s="73">
        <v>0.96700000000000008</v>
      </c>
      <c r="E118" s="73">
        <v>0.96499999999999997</v>
      </c>
      <c r="F118" s="73">
        <v>0.95400000000000007</v>
      </c>
    </row>
    <row r="119" spans="1:6" x14ac:dyDescent="0.55000000000000004">
      <c r="A119" t="s">
        <v>263</v>
      </c>
      <c r="B119" s="144">
        <v>315</v>
      </c>
      <c r="C119" s="150">
        <v>0.96499999999999997</v>
      </c>
      <c r="D119" s="150">
        <v>0.96700000000000008</v>
      </c>
      <c r="E119" s="150">
        <v>0.96599999999999997</v>
      </c>
      <c r="F119" s="150">
        <v>0.95400000000000007</v>
      </c>
    </row>
    <row r="120" spans="1:6" x14ac:dyDescent="0.55000000000000004">
      <c r="A120" t="s">
        <v>263</v>
      </c>
      <c r="B120" s="145">
        <v>355</v>
      </c>
      <c r="C120" s="150">
        <v>0.96499999999999997</v>
      </c>
      <c r="D120" s="150">
        <v>0.96700000000000008</v>
      </c>
      <c r="E120" s="150">
        <v>0.96599999999999997</v>
      </c>
      <c r="F120" s="150">
        <v>0.95400000000000007</v>
      </c>
    </row>
    <row r="121" spans="1:6" x14ac:dyDescent="0.55000000000000004">
      <c r="A121" t="s">
        <v>263</v>
      </c>
      <c r="B121" s="145">
        <v>375</v>
      </c>
      <c r="C121" s="73">
        <v>0.96499999999999997</v>
      </c>
      <c r="D121" s="73">
        <v>0.96700000000000008</v>
      </c>
      <c r="E121" s="73">
        <v>0.96599999999999997</v>
      </c>
      <c r="F121" s="73">
        <v>0.95400000000000007</v>
      </c>
    </row>
    <row r="122" spans="1:6" x14ac:dyDescent="0.55000000000000004">
      <c r="A122" t="s">
        <v>263</v>
      </c>
      <c r="B122" s="144">
        <v>1000</v>
      </c>
      <c r="C122" s="150">
        <v>0.96499999999999997</v>
      </c>
      <c r="D122" s="150">
        <v>0.96700000000000008</v>
      </c>
      <c r="E122" s="150">
        <v>0.96599999999999997</v>
      </c>
      <c r="F122" s="150">
        <v>0.95400000000000007</v>
      </c>
    </row>
  </sheetData>
  <phoneticPr fontId="5"/>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5"/>
  <sheetViews>
    <sheetView workbookViewId="0">
      <selection activeCell="E27" sqref="E27"/>
    </sheetView>
  </sheetViews>
  <sheetFormatPr defaultRowHeight="18" x14ac:dyDescent="0.55000000000000004"/>
  <cols>
    <col min="1" max="1" width="3" customWidth="1"/>
    <col min="2" max="4" width="17.5" customWidth="1"/>
    <col min="5" max="5" width="3" customWidth="1"/>
    <col min="6" max="8" width="17.5" customWidth="1"/>
    <col min="9" max="9" width="3" customWidth="1"/>
    <col min="10" max="10" width="8.1640625" style="111" customWidth="1"/>
    <col min="11" max="11" width="8.1640625" style="116" customWidth="1"/>
    <col min="12" max="12" width="1.5" style="116" customWidth="1"/>
    <col min="13" max="14" width="8.1640625" style="116" customWidth="1"/>
    <col min="15" max="15" width="1.5" style="116" customWidth="1"/>
    <col min="16" max="17" width="8.1640625" style="116" customWidth="1"/>
  </cols>
  <sheetData>
    <row r="2" spans="2:17" x14ac:dyDescent="0.55000000000000004">
      <c r="B2" s="749" t="s">
        <v>280</v>
      </c>
      <c r="C2" s="749"/>
      <c r="D2" s="749"/>
      <c r="E2" s="109"/>
      <c r="F2" s="749" t="s">
        <v>369</v>
      </c>
      <c r="G2" s="749"/>
      <c r="H2" s="749"/>
      <c r="J2" s="630" t="s">
        <v>394</v>
      </c>
      <c r="K2" s="630"/>
      <c r="L2" s="630"/>
      <c r="M2" s="630"/>
      <c r="N2" s="630"/>
      <c r="O2" s="630"/>
      <c r="P2" s="630"/>
      <c r="Q2" s="630"/>
    </row>
    <row r="3" spans="2:17" x14ac:dyDescent="0.55000000000000004">
      <c r="B3" s="110" t="s">
        <v>395</v>
      </c>
      <c r="C3" s="110" t="s">
        <v>396</v>
      </c>
      <c r="D3" s="110" t="s">
        <v>397</v>
      </c>
      <c r="E3" s="109"/>
      <c r="F3" s="110" t="s">
        <v>398</v>
      </c>
      <c r="G3" s="110" t="s">
        <v>396</v>
      </c>
      <c r="H3" s="110" t="s">
        <v>397</v>
      </c>
      <c r="J3" s="110" t="s">
        <v>19</v>
      </c>
      <c r="K3" s="113" t="s">
        <v>281</v>
      </c>
      <c r="L3" s="114"/>
      <c r="M3" s="113" t="s">
        <v>19</v>
      </c>
      <c r="N3" s="113" t="s">
        <v>281</v>
      </c>
      <c r="O3" s="114"/>
      <c r="P3" s="113" t="s">
        <v>19</v>
      </c>
      <c r="Q3" s="113" t="s">
        <v>281</v>
      </c>
    </row>
    <row r="4" spans="2:17" x14ac:dyDescent="0.55000000000000004">
      <c r="B4" s="14" t="s">
        <v>282</v>
      </c>
      <c r="C4" s="14" t="s">
        <v>283</v>
      </c>
      <c r="D4" s="14" t="s">
        <v>284</v>
      </c>
      <c r="E4" s="109"/>
      <c r="F4" s="14" t="s">
        <v>370</v>
      </c>
      <c r="G4" s="14" t="s">
        <v>371</v>
      </c>
      <c r="H4" s="14" t="s">
        <v>372</v>
      </c>
      <c r="J4" s="112">
        <v>1</v>
      </c>
      <c r="K4" s="115">
        <v>900</v>
      </c>
      <c r="M4" s="115">
        <v>10.6</v>
      </c>
      <c r="N4" s="115">
        <v>9500</v>
      </c>
      <c r="P4" s="115">
        <v>67</v>
      </c>
      <c r="Q4" s="115">
        <v>60000</v>
      </c>
    </row>
    <row r="5" spans="2:17" x14ac:dyDescent="0.55000000000000004">
      <c r="B5" s="14" t="s">
        <v>285</v>
      </c>
      <c r="C5" s="14" t="s">
        <v>286</v>
      </c>
      <c r="D5" s="14" t="s">
        <v>287</v>
      </c>
      <c r="E5" s="109"/>
      <c r="F5" s="14" t="s">
        <v>288</v>
      </c>
      <c r="G5" s="14" t="s">
        <v>289</v>
      </c>
      <c r="H5" s="14" t="s">
        <v>373</v>
      </c>
      <c r="J5" s="112">
        <v>1.1000000000000001</v>
      </c>
      <c r="K5" s="115">
        <v>1000</v>
      </c>
      <c r="M5" s="115">
        <v>11.2</v>
      </c>
      <c r="N5" s="115">
        <v>10000</v>
      </c>
      <c r="P5" s="115">
        <v>71</v>
      </c>
      <c r="Q5" s="115">
        <v>63000</v>
      </c>
    </row>
    <row r="6" spans="2:17" x14ac:dyDescent="0.55000000000000004">
      <c r="B6" s="14" t="s">
        <v>288</v>
      </c>
      <c r="C6" s="14" t="s">
        <v>289</v>
      </c>
      <c r="D6" s="14" t="s">
        <v>290</v>
      </c>
      <c r="E6" s="109"/>
      <c r="F6" s="14" t="s">
        <v>294</v>
      </c>
      <c r="G6" s="14" t="s">
        <v>295</v>
      </c>
      <c r="H6" s="14" t="s">
        <v>293</v>
      </c>
      <c r="J6" s="112">
        <v>1.2</v>
      </c>
      <c r="K6" s="115">
        <v>1120</v>
      </c>
      <c r="M6" s="115">
        <v>11.8</v>
      </c>
      <c r="N6" s="115">
        <v>10600</v>
      </c>
      <c r="P6" s="115">
        <v>75</v>
      </c>
      <c r="Q6" s="115">
        <v>67000</v>
      </c>
    </row>
    <row r="7" spans="2:17" x14ac:dyDescent="0.55000000000000004">
      <c r="B7" s="14" t="s">
        <v>291</v>
      </c>
      <c r="C7" s="14" t="s">
        <v>292</v>
      </c>
      <c r="D7" s="14" t="s">
        <v>293</v>
      </c>
      <c r="E7" s="109"/>
      <c r="F7" s="14" t="s">
        <v>300</v>
      </c>
      <c r="G7" s="14" t="s">
        <v>301</v>
      </c>
      <c r="H7" s="14" t="s">
        <v>296</v>
      </c>
      <c r="J7" s="112">
        <v>1.4</v>
      </c>
      <c r="K7" s="115">
        <v>1250</v>
      </c>
      <c r="M7" s="115">
        <v>12.5</v>
      </c>
      <c r="N7" s="115">
        <v>11200</v>
      </c>
      <c r="P7" s="115">
        <v>80</v>
      </c>
      <c r="Q7" s="115">
        <v>71000</v>
      </c>
    </row>
    <row r="8" spans="2:17" x14ac:dyDescent="0.55000000000000004">
      <c r="B8" s="14" t="s">
        <v>294</v>
      </c>
      <c r="C8" s="14" t="s">
        <v>295</v>
      </c>
      <c r="D8" s="14" t="s">
        <v>296</v>
      </c>
      <c r="E8" s="109"/>
      <c r="F8" s="14" t="s">
        <v>303</v>
      </c>
      <c r="G8" s="14" t="s">
        <v>304</v>
      </c>
      <c r="H8" s="14" t="s">
        <v>299</v>
      </c>
      <c r="J8" s="112">
        <v>1.6</v>
      </c>
      <c r="K8" s="115">
        <v>1400</v>
      </c>
      <c r="M8" s="115">
        <v>13.2</v>
      </c>
      <c r="N8" s="115">
        <v>11800</v>
      </c>
      <c r="P8" s="115">
        <v>85</v>
      </c>
      <c r="Q8" s="115">
        <v>75000</v>
      </c>
    </row>
    <row r="9" spans="2:17" x14ac:dyDescent="0.55000000000000004">
      <c r="B9" s="14" t="s">
        <v>297</v>
      </c>
      <c r="C9" s="14" t="s">
        <v>298</v>
      </c>
      <c r="D9" s="14" t="s">
        <v>299</v>
      </c>
      <c r="E9" s="109"/>
      <c r="F9" s="14" t="s">
        <v>309</v>
      </c>
      <c r="G9" s="14" t="s">
        <v>310</v>
      </c>
      <c r="H9" s="14" t="s">
        <v>305</v>
      </c>
      <c r="J9" s="112">
        <v>1.8</v>
      </c>
      <c r="K9" s="115">
        <v>1600</v>
      </c>
      <c r="M9" s="115">
        <v>14</v>
      </c>
      <c r="N9" s="115">
        <v>12500</v>
      </c>
      <c r="P9" s="115">
        <v>90</v>
      </c>
      <c r="Q9" s="115">
        <v>80000</v>
      </c>
    </row>
    <row r="10" spans="2:17" x14ac:dyDescent="0.55000000000000004">
      <c r="B10" s="14" t="s">
        <v>300</v>
      </c>
      <c r="C10" s="14" t="s">
        <v>301</v>
      </c>
      <c r="D10" s="14" t="s">
        <v>302</v>
      </c>
      <c r="E10" s="109"/>
      <c r="F10" s="14" t="s">
        <v>374</v>
      </c>
      <c r="G10" s="14" t="s">
        <v>375</v>
      </c>
      <c r="H10" s="14" t="s">
        <v>311</v>
      </c>
      <c r="J10" s="112">
        <v>2</v>
      </c>
      <c r="K10" s="115">
        <v>1800</v>
      </c>
      <c r="M10" s="115">
        <v>15</v>
      </c>
      <c r="N10" s="115">
        <v>13200</v>
      </c>
      <c r="P10" s="115">
        <v>95</v>
      </c>
      <c r="Q10" s="115">
        <v>85000</v>
      </c>
    </row>
    <row r="11" spans="2:17" x14ac:dyDescent="0.55000000000000004">
      <c r="B11" s="14" t="s">
        <v>303</v>
      </c>
      <c r="C11" s="14" t="s">
        <v>304</v>
      </c>
      <c r="D11" s="14" t="s">
        <v>305</v>
      </c>
      <c r="E11" s="109"/>
      <c r="F11" s="14" t="s">
        <v>376</v>
      </c>
      <c r="G11" s="14" t="s">
        <v>377</v>
      </c>
      <c r="H11" s="14" t="s">
        <v>317</v>
      </c>
      <c r="J11" s="112">
        <v>2.2000000000000002</v>
      </c>
      <c r="K11" s="115">
        <v>2000</v>
      </c>
      <c r="M11" s="115">
        <v>16</v>
      </c>
      <c r="N11" s="115">
        <v>14000</v>
      </c>
      <c r="P11" s="115">
        <v>100</v>
      </c>
      <c r="Q11" s="115">
        <v>90000</v>
      </c>
    </row>
    <row r="12" spans="2:17" x14ac:dyDescent="0.55000000000000004">
      <c r="B12" s="14" t="s">
        <v>306</v>
      </c>
      <c r="C12" s="14" t="s">
        <v>307</v>
      </c>
      <c r="D12" s="14" t="s">
        <v>308</v>
      </c>
      <c r="E12" s="109"/>
      <c r="F12" s="14" t="s">
        <v>321</v>
      </c>
      <c r="G12" s="14" t="s">
        <v>322</v>
      </c>
      <c r="H12" s="14" t="s">
        <v>320</v>
      </c>
      <c r="J12" s="112">
        <v>2.5</v>
      </c>
      <c r="K12" s="115">
        <v>2240</v>
      </c>
      <c r="M12" s="115">
        <v>17</v>
      </c>
      <c r="N12" s="115">
        <v>15000</v>
      </c>
      <c r="P12" s="115">
        <v>106</v>
      </c>
      <c r="Q12" s="115">
        <v>95000</v>
      </c>
    </row>
    <row r="13" spans="2:17" x14ac:dyDescent="0.55000000000000004">
      <c r="B13" s="14" t="s">
        <v>309</v>
      </c>
      <c r="C13" s="14" t="s">
        <v>310</v>
      </c>
      <c r="D13" s="14" t="s">
        <v>311</v>
      </c>
      <c r="E13" s="109"/>
      <c r="F13" s="14" t="s">
        <v>378</v>
      </c>
      <c r="G13" s="14" t="s">
        <v>379</v>
      </c>
      <c r="H13" s="14" t="s">
        <v>329</v>
      </c>
      <c r="J13" s="112">
        <v>2.8</v>
      </c>
      <c r="K13" s="115">
        <v>2500</v>
      </c>
      <c r="M13" s="115">
        <v>18</v>
      </c>
      <c r="N13" s="115">
        <v>16000</v>
      </c>
      <c r="P13" s="115">
        <v>112</v>
      </c>
      <c r="Q13" s="115">
        <v>100000</v>
      </c>
    </row>
    <row r="14" spans="2:17" x14ac:dyDescent="0.55000000000000004">
      <c r="B14" s="14" t="s">
        <v>312</v>
      </c>
      <c r="C14" s="14" t="s">
        <v>313</v>
      </c>
      <c r="D14" s="14" t="s">
        <v>314</v>
      </c>
      <c r="E14" s="109"/>
      <c r="F14" s="14" t="s">
        <v>380</v>
      </c>
      <c r="G14" s="14" t="s">
        <v>381</v>
      </c>
      <c r="H14" s="14" t="s">
        <v>332</v>
      </c>
      <c r="J14" s="112">
        <v>3</v>
      </c>
      <c r="K14" s="115">
        <v>2650</v>
      </c>
      <c r="M14" s="115">
        <v>19</v>
      </c>
      <c r="N14" s="115">
        <v>17000</v>
      </c>
      <c r="P14" s="115">
        <v>118</v>
      </c>
      <c r="Q14" s="115">
        <v>106000</v>
      </c>
    </row>
    <row r="15" spans="2:17" x14ac:dyDescent="0.55000000000000004">
      <c r="B15" s="14" t="s">
        <v>315</v>
      </c>
      <c r="C15" s="14" t="s">
        <v>316</v>
      </c>
      <c r="D15" s="14" t="s">
        <v>317</v>
      </c>
      <c r="E15" s="109"/>
      <c r="F15" s="14" t="s">
        <v>382</v>
      </c>
      <c r="G15" s="14" t="s">
        <v>383</v>
      </c>
      <c r="H15" s="14" t="s">
        <v>338</v>
      </c>
      <c r="J15" s="112">
        <v>3.2</v>
      </c>
      <c r="K15" s="115">
        <v>2800</v>
      </c>
      <c r="M15" s="115">
        <v>20</v>
      </c>
      <c r="N15" s="115">
        <v>18000</v>
      </c>
      <c r="P15" s="115">
        <v>125</v>
      </c>
      <c r="Q15" s="115">
        <v>112000</v>
      </c>
    </row>
    <row r="16" spans="2:17" x14ac:dyDescent="0.55000000000000004">
      <c r="B16" s="14" t="s">
        <v>318</v>
      </c>
      <c r="C16" s="14" t="s">
        <v>319</v>
      </c>
      <c r="D16" s="14" t="s">
        <v>320</v>
      </c>
      <c r="E16" s="109"/>
      <c r="F16" s="14" t="s">
        <v>345</v>
      </c>
      <c r="G16" s="14" t="s">
        <v>346</v>
      </c>
      <c r="H16" s="14" t="s">
        <v>344</v>
      </c>
      <c r="J16" s="112">
        <v>3.4</v>
      </c>
      <c r="K16" s="115">
        <v>3000</v>
      </c>
      <c r="M16" s="115">
        <v>21.2</v>
      </c>
      <c r="N16" s="115">
        <v>19000</v>
      </c>
      <c r="P16" s="115">
        <v>132</v>
      </c>
      <c r="Q16" s="115">
        <v>118000</v>
      </c>
    </row>
    <row r="17" spans="2:17" x14ac:dyDescent="0.55000000000000004">
      <c r="B17" s="14" t="s">
        <v>321</v>
      </c>
      <c r="C17" s="14" t="s">
        <v>322</v>
      </c>
      <c r="D17" s="14" t="s">
        <v>323</v>
      </c>
      <c r="E17" s="109"/>
      <c r="F17" s="14" t="s">
        <v>348</v>
      </c>
      <c r="G17" s="14" t="s">
        <v>349</v>
      </c>
      <c r="H17" s="14" t="s">
        <v>347</v>
      </c>
      <c r="J17" s="112">
        <v>3.6</v>
      </c>
      <c r="K17" s="115">
        <v>3150</v>
      </c>
      <c r="M17" s="115">
        <v>22.4</v>
      </c>
      <c r="N17" s="115">
        <v>20000</v>
      </c>
      <c r="P17" s="115">
        <v>140</v>
      </c>
      <c r="Q17" s="115">
        <v>125000</v>
      </c>
    </row>
    <row r="18" spans="2:17" x14ac:dyDescent="0.55000000000000004">
      <c r="B18" s="14" t="s">
        <v>324</v>
      </c>
      <c r="C18" s="14" t="s">
        <v>325</v>
      </c>
      <c r="D18" s="14" t="s">
        <v>326</v>
      </c>
      <c r="E18" s="109"/>
      <c r="F18" s="14" t="s">
        <v>384</v>
      </c>
      <c r="G18" s="14" t="s">
        <v>385</v>
      </c>
      <c r="H18" s="14" t="s">
        <v>350</v>
      </c>
      <c r="J18" s="112">
        <v>3.8</v>
      </c>
      <c r="K18" s="115">
        <v>3350</v>
      </c>
      <c r="M18" s="115">
        <v>23.6</v>
      </c>
      <c r="N18" s="115">
        <v>21200</v>
      </c>
      <c r="P18" s="115">
        <v>150</v>
      </c>
      <c r="Q18" s="115">
        <v>132000</v>
      </c>
    </row>
    <row r="19" spans="2:17" x14ac:dyDescent="0.55000000000000004">
      <c r="B19" s="14" t="s">
        <v>327</v>
      </c>
      <c r="C19" s="14" t="s">
        <v>328</v>
      </c>
      <c r="D19" s="14" t="s">
        <v>329</v>
      </c>
      <c r="E19" s="109"/>
      <c r="F19" s="14" t="s">
        <v>386</v>
      </c>
      <c r="G19" s="14" t="s">
        <v>387</v>
      </c>
      <c r="H19" s="14" t="s">
        <v>353</v>
      </c>
      <c r="J19" s="112">
        <v>4</v>
      </c>
      <c r="K19" s="115">
        <v>3550</v>
      </c>
      <c r="M19" s="115">
        <v>25</v>
      </c>
      <c r="N19" s="115">
        <v>22400</v>
      </c>
      <c r="P19" s="115">
        <v>160</v>
      </c>
      <c r="Q19" s="115">
        <v>140000</v>
      </c>
    </row>
    <row r="20" spans="2:17" x14ac:dyDescent="0.55000000000000004">
      <c r="B20" s="14" t="s">
        <v>330</v>
      </c>
      <c r="C20" s="14" t="s">
        <v>331</v>
      </c>
      <c r="D20" s="14" t="s">
        <v>332</v>
      </c>
      <c r="E20" s="109"/>
      <c r="F20" s="14" t="s">
        <v>357</v>
      </c>
      <c r="G20" s="14" t="s">
        <v>358</v>
      </c>
      <c r="H20" s="14" t="s">
        <v>356</v>
      </c>
      <c r="J20" s="112">
        <v>4.2</v>
      </c>
      <c r="K20" s="115">
        <v>3750</v>
      </c>
      <c r="M20" s="115">
        <v>26.5</v>
      </c>
      <c r="N20" s="115">
        <v>23600</v>
      </c>
      <c r="P20" s="115">
        <v>170</v>
      </c>
      <c r="Q20" s="115">
        <v>150000</v>
      </c>
    </row>
    <row r="21" spans="2:17" x14ac:dyDescent="0.55000000000000004">
      <c r="B21" s="14" t="s">
        <v>333</v>
      </c>
      <c r="C21" s="14" t="s">
        <v>334</v>
      </c>
      <c r="D21" s="14" t="s">
        <v>335</v>
      </c>
      <c r="E21" s="109"/>
      <c r="F21" s="14" t="s">
        <v>388</v>
      </c>
      <c r="G21" s="14" t="s">
        <v>389</v>
      </c>
      <c r="H21" s="14" t="s">
        <v>359</v>
      </c>
      <c r="J21" s="112">
        <v>4.5</v>
      </c>
      <c r="K21" s="115">
        <v>4000</v>
      </c>
      <c r="M21" s="115">
        <v>28</v>
      </c>
      <c r="N21" s="115">
        <v>25000</v>
      </c>
      <c r="P21" s="115">
        <v>180</v>
      </c>
      <c r="Q21" s="115">
        <v>160000</v>
      </c>
    </row>
    <row r="22" spans="2:17" x14ac:dyDescent="0.55000000000000004">
      <c r="B22" s="14" t="s">
        <v>336</v>
      </c>
      <c r="C22" s="14" t="s">
        <v>337</v>
      </c>
      <c r="D22" s="14" t="s">
        <v>338</v>
      </c>
      <c r="E22" s="109"/>
      <c r="F22" s="14" t="s">
        <v>390</v>
      </c>
      <c r="G22" s="14" t="s">
        <v>391</v>
      </c>
      <c r="H22" s="14" t="s">
        <v>362</v>
      </c>
      <c r="J22" s="112">
        <v>4.8</v>
      </c>
      <c r="K22" s="115">
        <v>4250</v>
      </c>
      <c r="M22" s="115">
        <v>30</v>
      </c>
      <c r="N22" s="115">
        <v>26500</v>
      </c>
      <c r="P22" s="115">
        <v>190</v>
      </c>
      <c r="Q22" s="115">
        <v>170000</v>
      </c>
    </row>
    <row r="23" spans="2:17" x14ac:dyDescent="0.55000000000000004">
      <c r="B23" s="14" t="s">
        <v>339</v>
      </c>
      <c r="C23" s="14" t="s">
        <v>340</v>
      </c>
      <c r="D23" s="14" t="s">
        <v>341</v>
      </c>
      <c r="E23" s="109"/>
      <c r="F23" s="14" t="s">
        <v>366</v>
      </c>
      <c r="G23" s="14" t="s">
        <v>367</v>
      </c>
      <c r="H23" s="14" t="s">
        <v>365</v>
      </c>
      <c r="J23" s="112">
        <v>5</v>
      </c>
      <c r="K23" s="115">
        <v>4500</v>
      </c>
      <c r="M23" s="115">
        <v>31.5</v>
      </c>
      <c r="N23" s="115">
        <v>28000</v>
      </c>
      <c r="P23" s="115">
        <v>200</v>
      </c>
      <c r="Q23" s="115">
        <v>180000</v>
      </c>
    </row>
    <row r="24" spans="2:17" x14ac:dyDescent="0.55000000000000004">
      <c r="B24" s="14" t="s">
        <v>342</v>
      </c>
      <c r="C24" s="14" t="s">
        <v>343</v>
      </c>
      <c r="D24" s="14" t="s">
        <v>344</v>
      </c>
      <c r="E24" s="109"/>
      <c r="F24" s="14" t="s">
        <v>392</v>
      </c>
      <c r="G24" s="14" t="s">
        <v>393</v>
      </c>
      <c r="H24" s="14" t="s">
        <v>368</v>
      </c>
      <c r="J24" s="112">
        <v>5.3</v>
      </c>
      <c r="K24" s="115">
        <v>4750</v>
      </c>
      <c r="M24" s="115">
        <v>33.5</v>
      </c>
      <c r="N24" s="115">
        <v>30000</v>
      </c>
      <c r="P24" s="115">
        <v>212</v>
      </c>
      <c r="Q24" s="115">
        <v>190000</v>
      </c>
    </row>
    <row r="25" spans="2:17" x14ac:dyDescent="0.55000000000000004">
      <c r="B25" s="14" t="s">
        <v>345</v>
      </c>
      <c r="C25" s="14" t="s">
        <v>346</v>
      </c>
      <c r="D25" s="14" t="s">
        <v>347</v>
      </c>
      <c r="E25" s="109"/>
      <c r="F25" s="109"/>
      <c r="G25" s="109"/>
      <c r="H25" s="109"/>
      <c r="J25" s="112">
        <v>5.6</v>
      </c>
      <c r="K25" s="115">
        <v>5000</v>
      </c>
      <c r="M25" s="115">
        <v>35.5</v>
      </c>
      <c r="N25" s="115">
        <v>31500</v>
      </c>
      <c r="P25" s="115">
        <v>224</v>
      </c>
      <c r="Q25" s="115">
        <v>200000</v>
      </c>
    </row>
    <row r="26" spans="2:17" x14ac:dyDescent="0.55000000000000004">
      <c r="B26" s="14" t="s">
        <v>348</v>
      </c>
      <c r="C26" s="14" t="s">
        <v>349</v>
      </c>
      <c r="D26" s="14" t="s">
        <v>350</v>
      </c>
      <c r="E26" s="109"/>
      <c r="F26" s="109"/>
      <c r="G26" s="109"/>
      <c r="H26" s="109"/>
      <c r="J26" s="112">
        <v>6</v>
      </c>
      <c r="K26" s="115">
        <v>5300</v>
      </c>
      <c r="M26" s="115">
        <v>37.5</v>
      </c>
      <c r="N26" s="115">
        <v>33500</v>
      </c>
      <c r="P26" s="115">
        <v>236</v>
      </c>
      <c r="Q26" s="115">
        <v>212000</v>
      </c>
    </row>
    <row r="27" spans="2:17" x14ac:dyDescent="0.55000000000000004">
      <c r="B27" s="14" t="s">
        <v>351</v>
      </c>
      <c r="C27" s="14" t="s">
        <v>352</v>
      </c>
      <c r="D27" s="14" t="s">
        <v>353</v>
      </c>
      <c r="E27" s="109"/>
      <c r="F27" s="109"/>
      <c r="G27" s="109"/>
      <c r="H27" s="109"/>
      <c r="J27" s="112">
        <v>6.3</v>
      </c>
      <c r="K27" s="115">
        <v>5600</v>
      </c>
      <c r="M27" s="115">
        <v>40</v>
      </c>
      <c r="N27" s="115">
        <v>35500</v>
      </c>
      <c r="P27" s="115">
        <v>250</v>
      </c>
      <c r="Q27" s="115">
        <v>224000</v>
      </c>
    </row>
    <row r="28" spans="2:17" x14ac:dyDescent="0.55000000000000004">
      <c r="B28" s="14" t="s">
        <v>354</v>
      </c>
      <c r="C28" s="14" t="s">
        <v>355</v>
      </c>
      <c r="D28" s="14" t="s">
        <v>356</v>
      </c>
      <c r="E28" s="109"/>
      <c r="F28" s="109"/>
      <c r="G28" s="109"/>
      <c r="H28" s="109"/>
      <c r="J28" s="112">
        <v>6.7</v>
      </c>
      <c r="K28" s="115">
        <v>6000</v>
      </c>
      <c r="M28" s="115">
        <v>42.5</v>
      </c>
      <c r="N28" s="115">
        <v>37500</v>
      </c>
      <c r="P28" s="115">
        <v>265</v>
      </c>
      <c r="Q28" s="115">
        <v>236000</v>
      </c>
    </row>
    <row r="29" spans="2:17" x14ac:dyDescent="0.55000000000000004">
      <c r="B29" s="14" t="s">
        <v>357</v>
      </c>
      <c r="C29" s="14" t="s">
        <v>358</v>
      </c>
      <c r="D29" s="14" t="s">
        <v>359</v>
      </c>
      <c r="E29" s="109"/>
      <c r="F29" s="109"/>
      <c r="G29" s="109"/>
      <c r="H29" s="109"/>
      <c r="J29" s="112">
        <v>7.1</v>
      </c>
      <c r="K29" s="115">
        <v>6300</v>
      </c>
      <c r="M29" s="115">
        <v>45</v>
      </c>
      <c r="N29" s="115">
        <v>40000</v>
      </c>
      <c r="P29" s="115">
        <v>280</v>
      </c>
      <c r="Q29" s="115">
        <v>250000</v>
      </c>
    </row>
    <row r="30" spans="2:17" x14ac:dyDescent="0.55000000000000004">
      <c r="B30" s="14" t="s">
        <v>360</v>
      </c>
      <c r="C30" s="14" t="s">
        <v>361</v>
      </c>
      <c r="D30" s="14" t="s">
        <v>362</v>
      </c>
      <c r="E30" s="109"/>
      <c r="F30" s="109"/>
      <c r="G30" s="109"/>
      <c r="H30" s="109"/>
      <c r="J30" s="112">
        <v>7.5</v>
      </c>
      <c r="K30" s="115">
        <v>6700</v>
      </c>
      <c r="M30" s="115">
        <v>47.5</v>
      </c>
      <c r="N30" s="115">
        <v>42500</v>
      </c>
      <c r="P30" s="115">
        <v>300</v>
      </c>
      <c r="Q30" s="115">
        <v>265000</v>
      </c>
    </row>
    <row r="31" spans="2:17" x14ac:dyDescent="0.55000000000000004">
      <c r="B31" s="14" t="s">
        <v>363</v>
      </c>
      <c r="C31" s="14" t="s">
        <v>364</v>
      </c>
      <c r="D31" s="14" t="s">
        <v>365</v>
      </c>
      <c r="E31" s="109"/>
      <c r="F31" s="109"/>
      <c r="G31" s="109"/>
      <c r="H31" s="109"/>
      <c r="J31" s="112">
        <v>8</v>
      </c>
      <c r="K31" s="115">
        <v>7100</v>
      </c>
      <c r="M31" s="115">
        <v>50</v>
      </c>
      <c r="N31" s="115">
        <v>45000</v>
      </c>
      <c r="P31" s="115">
        <v>315</v>
      </c>
      <c r="Q31" s="115">
        <v>280000</v>
      </c>
    </row>
    <row r="32" spans="2:17" x14ac:dyDescent="0.55000000000000004">
      <c r="B32" s="14" t="s">
        <v>366</v>
      </c>
      <c r="C32" s="14" t="s">
        <v>367</v>
      </c>
      <c r="D32" s="14" t="s">
        <v>368</v>
      </c>
      <c r="E32" s="109"/>
      <c r="F32" s="109"/>
      <c r="G32" s="109"/>
      <c r="H32" s="109"/>
      <c r="J32" s="112">
        <v>8.5</v>
      </c>
      <c r="K32" s="115">
        <v>7500</v>
      </c>
      <c r="M32" s="115">
        <v>53</v>
      </c>
      <c r="N32" s="115">
        <v>47500</v>
      </c>
      <c r="P32" s="115">
        <v>335</v>
      </c>
      <c r="Q32" s="115">
        <v>300000</v>
      </c>
    </row>
    <row r="33" spans="10:17" x14ac:dyDescent="0.55000000000000004">
      <c r="J33" s="112">
        <v>9</v>
      </c>
      <c r="K33" s="115">
        <v>8000</v>
      </c>
      <c r="M33" s="115">
        <v>56</v>
      </c>
      <c r="N33" s="115">
        <v>50000</v>
      </c>
      <c r="P33" s="115">
        <v>355</v>
      </c>
      <c r="Q33" s="115">
        <v>315000</v>
      </c>
    </row>
    <row r="34" spans="10:17" x14ac:dyDescent="0.55000000000000004">
      <c r="J34" s="112">
        <v>9.5</v>
      </c>
      <c r="K34" s="115">
        <v>8500</v>
      </c>
      <c r="M34" s="115">
        <v>60</v>
      </c>
      <c r="N34" s="115">
        <v>53000</v>
      </c>
      <c r="P34" s="115">
        <v>375</v>
      </c>
      <c r="Q34" s="115">
        <v>335000</v>
      </c>
    </row>
    <row r="35" spans="10:17" x14ac:dyDescent="0.55000000000000004">
      <c r="J35" s="112">
        <v>10</v>
      </c>
      <c r="K35" s="115">
        <v>9000</v>
      </c>
      <c r="L35" s="117"/>
      <c r="M35" s="115">
        <v>63</v>
      </c>
      <c r="N35" s="115">
        <v>56000</v>
      </c>
      <c r="O35" s="117"/>
      <c r="P35" s="115">
        <v>400</v>
      </c>
      <c r="Q35" s="115">
        <v>355000</v>
      </c>
    </row>
  </sheetData>
  <mergeCells count="3">
    <mergeCell ref="B2:D2"/>
    <mergeCell ref="F2:H2"/>
    <mergeCell ref="J2:Q2"/>
  </mergeCells>
  <phoneticPr fontId="5"/>
  <pageMargins left="0.7" right="0.7" top="0.75" bottom="0.75" header="0.3" footer="0.3"/>
  <pageSetup paperSize="9" orientation="portrait"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8" zoomScale="130" zoomScaleNormal="130" workbookViewId="0">
      <selection activeCell="M63" sqref="M63"/>
    </sheetView>
  </sheetViews>
  <sheetFormatPr defaultRowHeight="18" x14ac:dyDescent="0.55000000000000004"/>
  <sheetData/>
  <phoneticPr fontId="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7"/>
  <sheetViews>
    <sheetView view="pageBreakPreview" zoomScaleNormal="70" zoomScaleSheetLayoutView="100" workbookViewId="0">
      <selection activeCell="C18" sqref="C18"/>
    </sheetView>
  </sheetViews>
  <sheetFormatPr defaultRowHeight="18" x14ac:dyDescent="0.55000000000000004"/>
  <cols>
    <col min="1" max="1" width="3.6640625" customWidth="1"/>
    <col min="2" max="2" width="6.58203125" customWidth="1"/>
    <col min="3" max="7" width="10.08203125" customWidth="1"/>
    <col min="8" max="9" width="5.58203125" customWidth="1"/>
    <col min="10" max="13" width="10.08203125" customWidth="1"/>
    <col min="14" max="14" width="16.4140625" customWidth="1"/>
    <col min="15" max="15" width="10.08203125" customWidth="1"/>
    <col min="16" max="17" width="5.58203125" customWidth="1"/>
    <col min="18" max="23" width="10.08203125" customWidth="1"/>
    <col min="24" max="24" width="3.6640625" customWidth="1"/>
    <col min="25" max="25" width="7.33203125" customWidth="1"/>
  </cols>
  <sheetData>
    <row r="1" spans="1:23" ht="29" x14ac:dyDescent="0.85">
      <c r="A1" s="1" t="s">
        <v>529</v>
      </c>
      <c r="F1" s="292"/>
      <c r="G1" s="285"/>
      <c r="H1" s="285"/>
      <c r="I1" s="285"/>
      <c r="J1" s="296"/>
      <c r="K1" s="292"/>
      <c r="L1" s="292"/>
      <c r="M1" s="297"/>
    </row>
    <row r="3" spans="1:23" ht="22.75" customHeight="1" x14ac:dyDescent="0.55000000000000004">
      <c r="D3" s="639" t="s">
        <v>22</v>
      </c>
      <c r="E3" s="640"/>
      <c r="F3" s="153" t="s">
        <v>23</v>
      </c>
      <c r="G3" s="153" t="s">
        <v>24</v>
      </c>
      <c r="H3" s="639" t="s">
        <v>25</v>
      </c>
      <c r="I3" s="640"/>
      <c r="J3" s="153" t="s">
        <v>26</v>
      </c>
      <c r="K3" s="180" t="s">
        <v>27</v>
      </c>
      <c r="M3" s="634" t="s">
        <v>440</v>
      </c>
      <c r="N3" s="634"/>
      <c r="O3" s="634"/>
      <c r="P3" s="634"/>
      <c r="Q3" s="634"/>
      <c r="R3" s="634"/>
      <c r="S3" s="634"/>
      <c r="T3" s="634"/>
      <c r="U3" s="634"/>
      <c r="V3" s="634"/>
      <c r="W3" s="634"/>
    </row>
    <row r="4" spans="1:23" ht="22.75" customHeight="1" x14ac:dyDescent="0.55000000000000004">
      <c r="D4" s="651" t="s">
        <v>28</v>
      </c>
      <c r="E4" s="652"/>
      <c r="F4" s="153" t="s">
        <v>21</v>
      </c>
      <c r="G4" s="184">
        <f>$K$17</f>
        <v>0</v>
      </c>
      <c r="H4" s="649">
        <f>$S$17</f>
        <v>0</v>
      </c>
      <c r="I4" s="650">
        <f>$S$17</f>
        <v>0</v>
      </c>
      <c r="J4" s="185">
        <f>G4-H4</f>
        <v>0</v>
      </c>
      <c r="K4" s="17">
        <f>IF(OR(G4=0,J4=0),0,J4/G4)</f>
        <v>0</v>
      </c>
      <c r="M4" s="633"/>
      <c r="N4" s="633"/>
      <c r="O4" s="633"/>
      <c r="P4" s="633"/>
      <c r="Q4" s="633"/>
      <c r="R4" s="633"/>
      <c r="S4" s="633"/>
      <c r="T4" s="633"/>
      <c r="U4" s="633"/>
      <c r="V4" s="633"/>
      <c r="W4" s="633"/>
    </row>
    <row r="5" spans="1:23" ht="22.75" customHeight="1" x14ac:dyDescent="0.55000000000000004">
      <c r="D5" s="651" t="s">
        <v>4</v>
      </c>
      <c r="E5" s="652"/>
      <c r="F5" s="181" t="s">
        <v>9</v>
      </c>
      <c r="G5" s="103">
        <f>$L$17</f>
        <v>0</v>
      </c>
      <c r="H5" s="647">
        <f>$T$17</f>
        <v>0</v>
      </c>
      <c r="I5" s="648">
        <f>$T$17</f>
        <v>0</v>
      </c>
      <c r="J5" s="179">
        <f>G5-H5</f>
        <v>0</v>
      </c>
      <c r="K5" s="17">
        <f>IF(OR(G5=0,J5=0),0,J5/G5)</f>
        <v>0</v>
      </c>
      <c r="M5" s="78"/>
      <c r="N5" s="78"/>
      <c r="O5" s="78"/>
      <c r="P5" s="78"/>
      <c r="Q5" s="78"/>
      <c r="R5" s="78"/>
      <c r="S5" s="78"/>
      <c r="T5" s="78"/>
      <c r="U5" s="78"/>
      <c r="V5" s="78"/>
    </row>
    <row r="6" spans="1:23" ht="22.75" customHeight="1" x14ac:dyDescent="0.55000000000000004">
      <c r="D6" s="639" t="s">
        <v>29</v>
      </c>
      <c r="E6" s="640"/>
      <c r="F6" s="153" t="s">
        <v>30</v>
      </c>
      <c r="G6" s="293" t="str">
        <f>IF(使用量と光熱費!$I$6=0,"ー",G4*使用量と光熱費!$I$6)</f>
        <v>ー</v>
      </c>
      <c r="H6" s="645" t="str">
        <f>IF(使用量と光熱費!$I$6=0,"ー",H4*使用量と光熱費!$I$6)</f>
        <v>ー</v>
      </c>
      <c r="I6" s="646" t="str">
        <f>IF(使用量と光熱費!$I$6=0,"ー",I4*使用量と光熱費!$I$6)</f>
        <v>ー</v>
      </c>
      <c r="J6" s="293" t="str">
        <f>IF(OR(G6="ー",H6="ー"),"ー",J4*使用量と光熱費!$I$6)</f>
        <v>ー</v>
      </c>
      <c r="K6" s="15" t="str">
        <f>IF(OR(G6="ー",J6="ー"),"ー",J6/G6)</f>
        <v>ー</v>
      </c>
      <c r="M6" s="635" t="s">
        <v>435</v>
      </c>
      <c r="N6" s="636"/>
      <c r="O6" s="636"/>
      <c r="P6" s="636"/>
      <c r="Q6" s="636"/>
      <c r="R6" s="636"/>
      <c r="S6" s="636"/>
      <c r="T6" s="636"/>
      <c r="U6" s="636"/>
      <c r="V6" s="636"/>
      <c r="W6" s="637"/>
    </row>
    <row r="7" spans="1:23" x14ac:dyDescent="0.55000000000000004">
      <c r="D7" s="641" t="s">
        <v>31</v>
      </c>
      <c r="E7" s="642"/>
      <c r="F7" s="182" t="s">
        <v>929</v>
      </c>
      <c r="G7" s="120">
        <f>G4*係数!$C$30*0.0000258</f>
        <v>0</v>
      </c>
      <c r="H7" s="643">
        <f>H4*係数!$C$30*0.0000258</f>
        <v>0</v>
      </c>
      <c r="I7" s="644">
        <f>I4*係数!$C$30*0.0000258</f>
        <v>0</v>
      </c>
      <c r="J7" s="295">
        <f>G7-H7</f>
        <v>0</v>
      </c>
      <c r="K7" s="22">
        <f>IF(OR(G7=0,J7=0),0,J7/G7)</f>
        <v>0</v>
      </c>
      <c r="M7" s="160" t="str">
        <f>IF(OR(E17=0,O17=0),"",IF(E17=O17,"なし",IF(E17&gt;O17,"減少","増加")))</f>
        <v/>
      </c>
      <c r="N7" s="653" t="str">
        <f>IF(OR(M7="",M7="なし"),"ー",IF(M7="減少","減少する理由を特記事項欄に記載してください。","やむを得ず増加する場合は特記事項欄に理由を記載してください。(要根拠資料提出)"))</f>
        <v>ー</v>
      </c>
      <c r="O7" s="654"/>
      <c r="P7" s="654"/>
      <c r="Q7" s="654"/>
      <c r="R7" s="654"/>
      <c r="S7" s="654"/>
      <c r="T7" s="654"/>
      <c r="U7" s="654"/>
      <c r="V7" s="654"/>
      <c r="W7" s="655"/>
    </row>
    <row r="8" spans="1:23" x14ac:dyDescent="0.55000000000000004">
      <c r="M8" s="78"/>
      <c r="N8" s="78"/>
      <c r="O8" s="78"/>
      <c r="P8" s="78"/>
      <c r="Q8" s="78"/>
      <c r="R8" s="78"/>
      <c r="S8" s="78"/>
      <c r="T8" s="78"/>
      <c r="U8" s="78"/>
      <c r="V8" s="78"/>
    </row>
    <row r="9" spans="1:23" x14ac:dyDescent="0.55000000000000004">
      <c r="C9" s="75"/>
    </row>
    <row r="10" spans="1:23" x14ac:dyDescent="0.55000000000000004">
      <c r="C10" s="80"/>
    </row>
    <row r="11" spans="1:23" x14ac:dyDescent="0.55000000000000004">
      <c r="C11" s="80"/>
    </row>
    <row r="12" spans="1:23" x14ac:dyDescent="0.55000000000000004">
      <c r="A12" t="s">
        <v>33</v>
      </c>
      <c r="M12" s="75"/>
    </row>
    <row r="13" spans="1:23" x14ac:dyDescent="0.55000000000000004">
      <c r="B13" s="638" t="s">
        <v>22</v>
      </c>
      <c r="C13" s="168" t="s">
        <v>24</v>
      </c>
      <c r="D13" s="168"/>
      <c r="E13" s="168"/>
      <c r="F13" s="168"/>
      <c r="G13" s="168"/>
      <c r="H13" s="168"/>
      <c r="I13" s="168"/>
      <c r="J13" s="168"/>
      <c r="K13" s="168"/>
      <c r="L13" s="168"/>
      <c r="M13" s="168" t="s">
        <v>25</v>
      </c>
      <c r="N13" s="168"/>
      <c r="O13" s="168"/>
      <c r="P13" s="168"/>
      <c r="Q13" s="168"/>
      <c r="R13" s="168"/>
      <c r="S13" s="168"/>
      <c r="T13" s="168"/>
      <c r="U13" s="168" t="s">
        <v>34</v>
      </c>
      <c r="V13" s="168"/>
      <c r="W13" s="168"/>
    </row>
    <row r="14" spans="1:23" ht="33" x14ac:dyDescent="0.55000000000000004">
      <c r="B14" s="632"/>
      <c r="C14" s="473" t="s">
        <v>35</v>
      </c>
      <c r="D14" s="473" t="s">
        <v>36</v>
      </c>
      <c r="E14" s="473" t="s">
        <v>37</v>
      </c>
      <c r="F14" s="473" t="s">
        <v>890</v>
      </c>
      <c r="G14" s="473" t="s">
        <v>399</v>
      </c>
      <c r="H14" s="473" t="s">
        <v>456</v>
      </c>
      <c r="I14" s="473" t="s">
        <v>891</v>
      </c>
      <c r="J14" s="473" t="s">
        <v>892</v>
      </c>
      <c r="K14" s="473" t="s">
        <v>400</v>
      </c>
      <c r="L14" s="473" t="s">
        <v>39</v>
      </c>
      <c r="M14" s="473" t="s">
        <v>35</v>
      </c>
      <c r="N14" s="473" t="s">
        <v>40</v>
      </c>
      <c r="O14" s="473" t="s">
        <v>41</v>
      </c>
      <c r="P14" s="473" t="s">
        <v>456</v>
      </c>
      <c r="Q14" s="473" t="s">
        <v>893</v>
      </c>
      <c r="R14" s="473" t="s">
        <v>894</v>
      </c>
      <c r="S14" s="473" t="s">
        <v>402</v>
      </c>
      <c r="T14" s="473" t="s">
        <v>44</v>
      </c>
      <c r="U14" s="474" t="s">
        <v>45</v>
      </c>
      <c r="V14" s="474" t="s">
        <v>927</v>
      </c>
      <c r="W14" s="474" t="s">
        <v>46</v>
      </c>
    </row>
    <row r="15" spans="1:23" ht="21.65" customHeight="1" x14ac:dyDescent="0.55000000000000004">
      <c r="B15" s="167" t="s">
        <v>23</v>
      </c>
      <c r="C15" s="571"/>
      <c r="D15" s="154" t="s">
        <v>47</v>
      </c>
      <c r="E15" s="154" t="s">
        <v>48</v>
      </c>
      <c r="F15" s="154" t="s">
        <v>49</v>
      </c>
      <c r="G15" s="154" t="s">
        <v>50</v>
      </c>
      <c r="H15" s="171"/>
      <c r="I15" s="154" t="s">
        <v>163</v>
      </c>
      <c r="J15" s="169" t="s">
        <v>51</v>
      </c>
      <c r="K15" s="154" t="s">
        <v>21</v>
      </c>
      <c r="L15" s="170" t="s">
        <v>9</v>
      </c>
      <c r="M15" s="572"/>
      <c r="N15" s="154" t="s">
        <v>47</v>
      </c>
      <c r="O15" s="154" t="s">
        <v>48</v>
      </c>
      <c r="P15" s="171"/>
      <c r="Q15" s="154" t="s">
        <v>277</v>
      </c>
      <c r="R15" s="154" t="s">
        <v>51</v>
      </c>
      <c r="S15" s="154" t="s">
        <v>21</v>
      </c>
      <c r="T15" s="170" t="s">
        <v>9</v>
      </c>
      <c r="U15" s="154" t="s">
        <v>21</v>
      </c>
      <c r="V15" s="528" t="s">
        <v>930</v>
      </c>
      <c r="W15" s="170" t="s">
        <v>9</v>
      </c>
    </row>
    <row r="16" spans="1:23" ht="21.65" customHeight="1" x14ac:dyDescent="0.55000000000000004">
      <c r="B16" s="458" t="s">
        <v>265</v>
      </c>
      <c r="C16" s="175" t="s">
        <v>451</v>
      </c>
      <c r="D16" s="176">
        <v>64</v>
      </c>
      <c r="E16" s="172">
        <v>60</v>
      </c>
      <c r="F16" s="172">
        <v>8</v>
      </c>
      <c r="G16" s="172">
        <v>250</v>
      </c>
      <c r="H16" s="178"/>
      <c r="I16" s="172"/>
      <c r="J16" s="173">
        <f>IF(H16="",F16*G16,F16*G16*I16/100)</f>
        <v>2000</v>
      </c>
      <c r="K16" s="173">
        <f>D16*E16*J16/1000</f>
        <v>7680</v>
      </c>
      <c r="L16" s="174">
        <f>K16*係数!$H$30</f>
        <v>3.50976</v>
      </c>
      <c r="M16" s="177" t="s">
        <v>453</v>
      </c>
      <c r="N16" s="176">
        <v>26.3</v>
      </c>
      <c r="O16" s="172">
        <v>60</v>
      </c>
      <c r="P16" s="178" t="s">
        <v>276</v>
      </c>
      <c r="Q16" s="172">
        <v>20</v>
      </c>
      <c r="R16" s="531">
        <f>IF(P16="",J16,J16*Q16/100)</f>
        <v>400</v>
      </c>
      <c r="S16" s="173">
        <f>N16*O16*R16/1000</f>
        <v>631.20000000000005</v>
      </c>
      <c r="T16" s="174">
        <f>S16*係数!$H$30</f>
        <v>0.2884584</v>
      </c>
      <c r="U16" s="173">
        <f>K16-S16</f>
        <v>7048.8</v>
      </c>
      <c r="V16" s="534">
        <f>U16*係数!$C$30*0.0000258</f>
        <v>1.8131346288000003</v>
      </c>
      <c r="W16" s="183">
        <f>L16-T16</f>
        <v>3.2213015999999999</v>
      </c>
    </row>
    <row r="17" spans="2:23" x14ac:dyDescent="0.55000000000000004">
      <c r="B17" s="444" t="s">
        <v>18</v>
      </c>
      <c r="C17" s="108"/>
      <c r="D17" s="104"/>
      <c r="E17" s="23">
        <f>SUM(E18:E417)</f>
        <v>0</v>
      </c>
      <c r="F17" s="105"/>
      <c r="G17" s="105"/>
      <c r="H17" s="108"/>
      <c r="I17" s="105"/>
      <c r="J17" s="106"/>
      <c r="K17" s="100">
        <f>SUM(K18:K417)</f>
        <v>0</v>
      </c>
      <c r="L17" s="88">
        <f>SUM(L18:L417)</f>
        <v>0</v>
      </c>
      <c r="M17" s="107"/>
      <c r="N17" s="108"/>
      <c r="O17" s="23">
        <f>SUM(O18:O417)</f>
        <v>0</v>
      </c>
      <c r="P17" s="108"/>
      <c r="Q17" s="105"/>
      <c r="R17" s="532"/>
      <c r="S17" s="100">
        <f>SUM(S18:S417)</f>
        <v>0</v>
      </c>
      <c r="T17" s="88">
        <f>SUM(T18:T417)</f>
        <v>0</v>
      </c>
      <c r="U17" s="100">
        <f>SUM(U18:U417)</f>
        <v>0</v>
      </c>
      <c r="V17" s="534">
        <f>SUM(V18:V417)</f>
        <v>0</v>
      </c>
      <c r="W17" s="544">
        <f>SUM(W18:W417)</f>
        <v>0</v>
      </c>
    </row>
    <row r="18" spans="2:23" x14ac:dyDescent="0.55000000000000004">
      <c r="B18" s="194" t="s">
        <v>52</v>
      </c>
      <c r="C18" s="25"/>
      <c r="D18" s="128"/>
      <c r="E18" s="6"/>
      <c r="F18" s="101"/>
      <c r="G18" s="101"/>
      <c r="H18" s="137"/>
      <c r="I18" s="6"/>
      <c r="J18" s="100">
        <f>IF(H18="",F18*G18,F18*G18*I18/100)</f>
        <v>0</v>
      </c>
      <c r="K18" s="100">
        <f>D18*E18*J18/1000</f>
        <v>0</v>
      </c>
      <c r="L18" s="88">
        <f>K18*係数!$H$30</f>
        <v>0</v>
      </c>
      <c r="M18" s="25"/>
      <c r="N18" s="6"/>
      <c r="O18" s="6"/>
      <c r="P18" s="137"/>
      <c r="Q18" s="6"/>
      <c r="R18" s="533">
        <f t="shared" ref="R18:R81" si="0">IF(P18="",J18,J18*Q18/100)</f>
        <v>0</v>
      </c>
      <c r="S18" s="12">
        <f>N18*O18*R18/1000</f>
        <v>0</v>
      </c>
      <c r="T18" s="88">
        <f>S18*係数!$H$30</f>
        <v>0</v>
      </c>
      <c r="U18" s="12">
        <f t="shared" ref="U18:U81" si="1">K18-S18</f>
        <v>0</v>
      </c>
      <c r="V18" s="545">
        <f>U18*係数!$C$30*0.0000258</f>
        <v>0</v>
      </c>
      <c r="W18" s="543">
        <f t="shared" ref="W18:W81" si="2">L18-T18</f>
        <v>0</v>
      </c>
    </row>
    <row r="19" spans="2:23" x14ac:dyDescent="0.55000000000000004">
      <c r="B19" s="194" t="s">
        <v>53</v>
      </c>
      <c r="C19" s="25"/>
      <c r="D19" s="128"/>
      <c r="E19" s="6"/>
      <c r="F19" s="101"/>
      <c r="G19" s="101"/>
      <c r="H19" s="137"/>
      <c r="I19" s="6"/>
      <c r="J19" s="100">
        <f t="shared" ref="J19:J67" si="3">IF(H19="",F19*G19,F19*G19*I19/100)</f>
        <v>0</v>
      </c>
      <c r="K19" s="100">
        <f t="shared" ref="K19:K67" si="4">D19*E19*J19/1000</f>
        <v>0</v>
      </c>
      <c r="L19" s="88">
        <f>K19*係数!$H$30</f>
        <v>0</v>
      </c>
      <c r="M19" s="25"/>
      <c r="N19" s="6"/>
      <c r="O19" s="6"/>
      <c r="P19" s="137"/>
      <c r="Q19" s="6"/>
      <c r="R19" s="533">
        <f t="shared" si="0"/>
        <v>0</v>
      </c>
      <c r="S19" s="12">
        <f t="shared" ref="S19:S81" si="5">N19*O19*R19/1000</f>
        <v>0</v>
      </c>
      <c r="T19" s="88">
        <f>S19*係数!$H$30</f>
        <v>0</v>
      </c>
      <c r="U19" s="12">
        <f t="shared" si="1"/>
        <v>0</v>
      </c>
      <c r="V19" s="545">
        <f>U19*係数!$C$30*0.0000258</f>
        <v>0</v>
      </c>
      <c r="W19" s="543">
        <f t="shared" si="2"/>
        <v>0</v>
      </c>
    </row>
    <row r="20" spans="2:23" x14ac:dyDescent="0.55000000000000004">
      <c r="B20" s="194" t="s">
        <v>54</v>
      </c>
      <c r="C20" s="25"/>
      <c r="D20" s="128"/>
      <c r="E20" s="6"/>
      <c r="F20" s="101"/>
      <c r="G20" s="101"/>
      <c r="H20" s="137"/>
      <c r="I20" s="6"/>
      <c r="J20" s="100">
        <f t="shared" si="3"/>
        <v>0</v>
      </c>
      <c r="K20" s="100">
        <f t="shared" si="4"/>
        <v>0</v>
      </c>
      <c r="L20" s="88">
        <f>K20*係数!$H$30</f>
        <v>0</v>
      </c>
      <c r="M20" s="25"/>
      <c r="N20" s="6"/>
      <c r="O20" s="6"/>
      <c r="P20" s="137"/>
      <c r="Q20" s="6"/>
      <c r="R20" s="533">
        <f t="shared" si="0"/>
        <v>0</v>
      </c>
      <c r="S20" s="12">
        <f t="shared" si="5"/>
        <v>0</v>
      </c>
      <c r="T20" s="88">
        <f>S20*係数!$H$30</f>
        <v>0</v>
      </c>
      <c r="U20" s="12">
        <f t="shared" si="1"/>
        <v>0</v>
      </c>
      <c r="V20" s="545">
        <f>U20*係数!$C$30*0.0000258</f>
        <v>0</v>
      </c>
      <c r="W20" s="543">
        <f t="shared" si="2"/>
        <v>0</v>
      </c>
    </row>
    <row r="21" spans="2:23" x14ac:dyDescent="0.55000000000000004">
      <c r="B21" s="194" t="s">
        <v>55</v>
      </c>
      <c r="C21" s="25"/>
      <c r="D21" s="128"/>
      <c r="E21" s="6"/>
      <c r="F21" s="101"/>
      <c r="G21" s="101"/>
      <c r="H21" s="137"/>
      <c r="I21" s="6"/>
      <c r="J21" s="100">
        <f t="shared" si="3"/>
        <v>0</v>
      </c>
      <c r="K21" s="100">
        <f t="shared" si="4"/>
        <v>0</v>
      </c>
      <c r="L21" s="88">
        <f>K21*係数!$H$30</f>
        <v>0</v>
      </c>
      <c r="M21" s="25"/>
      <c r="N21" s="6"/>
      <c r="O21" s="6"/>
      <c r="P21" s="137"/>
      <c r="Q21" s="6"/>
      <c r="R21" s="533">
        <f t="shared" si="0"/>
        <v>0</v>
      </c>
      <c r="S21" s="12">
        <f t="shared" si="5"/>
        <v>0</v>
      </c>
      <c r="T21" s="88">
        <f>S21*係数!$H$30</f>
        <v>0</v>
      </c>
      <c r="U21" s="12">
        <f t="shared" si="1"/>
        <v>0</v>
      </c>
      <c r="V21" s="545">
        <f>U21*係数!$C$30*0.0000258</f>
        <v>0</v>
      </c>
      <c r="W21" s="543">
        <f t="shared" si="2"/>
        <v>0</v>
      </c>
    </row>
    <row r="22" spans="2:23" x14ac:dyDescent="0.55000000000000004">
      <c r="B22" s="194" t="s">
        <v>56</v>
      </c>
      <c r="C22" s="25"/>
      <c r="D22" s="128"/>
      <c r="E22" s="6"/>
      <c r="F22" s="101"/>
      <c r="G22" s="101"/>
      <c r="H22" s="137"/>
      <c r="I22" s="6"/>
      <c r="J22" s="100">
        <f t="shared" si="3"/>
        <v>0</v>
      </c>
      <c r="K22" s="100">
        <f t="shared" si="4"/>
        <v>0</v>
      </c>
      <c r="L22" s="88">
        <f>K22*係数!$H$30</f>
        <v>0</v>
      </c>
      <c r="M22" s="25"/>
      <c r="N22" s="6"/>
      <c r="O22" s="6"/>
      <c r="P22" s="137"/>
      <c r="Q22" s="6"/>
      <c r="R22" s="533">
        <f t="shared" si="0"/>
        <v>0</v>
      </c>
      <c r="S22" s="12">
        <f t="shared" si="5"/>
        <v>0</v>
      </c>
      <c r="T22" s="88">
        <f>S22*係数!$H$30</f>
        <v>0</v>
      </c>
      <c r="U22" s="12">
        <f t="shared" si="1"/>
        <v>0</v>
      </c>
      <c r="V22" s="545">
        <f>U22*係数!$C$30*0.0000258</f>
        <v>0</v>
      </c>
      <c r="W22" s="543">
        <f t="shared" si="2"/>
        <v>0</v>
      </c>
    </row>
    <row r="23" spans="2:23" x14ac:dyDescent="0.55000000000000004">
      <c r="B23" s="194" t="s">
        <v>57</v>
      </c>
      <c r="C23" s="25"/>
      <c r="D23" s="128"/>
      <c r="E23" s="6"/>
      <c r="F23" s="101"/>
      <c r="G23" s="101"/>
      <c r="H23" s="137"/>
      <c r="I23" s="6"/>
      <c r="J23" s="100">
        <f t="shared" si="3"/>
        <v>0</v>
      </c>
      <c r="K23" s="100">
        <f t="shared" si="4"/>
        <v>0</v>
      </c>
      <c r="L23" s="88">
        <f>K23*係数!$H$30</f>
        <v>0</v>
      </c>
      <c r="M23" s="25"/>
      <c r="N23" s="6"/>
      <c r="O23" s="6"/>
      <c r="P23" s="137"/>
      <c r="Q23" s="6"/>
      <c r="R23" s="533">
        <f t="shared" si="0"/>
        <v>0</v>
      </c>
      <c r="S23" s="12">
        <f t="shared" si="5"/>
        <v>0</v>
      </c>
      <c r="T23" s="88">
        <f>S23*係数!$H$30</f>
        <v>0</v>
      </c>
      <c r="U23" s="12">
        <f t="shared" si="1"/>
        <v>0</v>
      </c>
      <c r="V23" s="545">
        <f>U23*係数!$C$30*0.0000258</f>
        <v>0</v>
      </c>
      <c r="W23" s="543">
        <f t="shared" si="2"/>
        <v>0</v>
      </c>
    </row>
    <row r="24" spans="2:23" x14ac:dyDescent="0.55000000000000004">
      <c r="B24" s="194" t="s">
        <v>58</v>
      </c>
      <c r="C24" s="25"/>
      <c r="D24" s="128"/>
      <c r="E24" s="6"/>
      <c r="F24" s="101"/>
      <c r="G24" s="101"/>
      <c r="H24" s="137"/>
      <c r="I24" s="6"/>
      <c r="J24" s="100">
        <f t="shared" si="3"/>
        <v>0</v>
      </c>
      <c r="K24" s="100">
        <f t="shared" si="4"/>
        <v>0</v>
      </c>
      <c r="L24" s="88">
        <f>K24*係数!$H$30</f>
        <v>0</v>
      </c>
      <c r="M24" s="25"/>
      <c r="N24" s="6"/>
      <c r="O24" s="6"/>
      <c r="P24" s="137"/>
      <c r="Q24" s="6"/>
      <c r="R24" s="533">
        <f t="shared" si="0"/>
        <v>0</v>
      </c>
      <c r="S24" s="12">
        <f t="shared" si="5"/>
        <v>0</v>
      </c>
      <c r="T24" s="88">
        <f>S24*係数!$H$30</f>
        <v>0</v>
      </c>
      <c r="U24" s="12">
        <f t="shared" si="1"/>
        <v>0</v>
      </c>
      <c r="V24" s="545">
        <f>U24*係数!$C$30*0.0000258</f>
        <v>0</v>
      </c>
      <c r="W24" s="543">
        <f t="shared" si="2"/>
        <v>0</v>
      </c>
    </row>
    <row r="25" spans="2:23" x14ac:dyDescent="0.55000000000000004">
      <c r="B25" s="194" t="s">
        <v>59</v>
      </c>
      <c r="C25" s="25"/>
      <c r="D25" s="128"/>
      <c r="E25" s="6"/>
      <c r="F25" s="101"/>
      <c r="G25" s="101"/>
      <c r="H25" s="137"/>
      <c r="I25" s="6"/>
      <c r="J25" s="100">
        <f t="shared" si="3"/>
        <v>0</v>
      </c>
      <c r="K25" s="100">
        <f t="shared" si="4"/>
        <v>0</v>
      </c>
      <c r="L25" s="88">
        <f>K25*係数!$H$30</f>
        <v>0</v>
      </c>
      <c r="M25" s="25"/>
      <c r="N25" s="6"/>
      <c r="O25" s="6"/>
      <c r="P25" s="137"/>
      <c r="Q25" s="6"/>
      <c r="R25" s="533">
        <f t="shared" si="0"/>
        <v>0</v>
      </c>
      <c r="S25" s="12">
        <f t="shared" si="5"/>
        <v>0</v>
      </c>
      <c r="T25" s="88">
        <f>S25*係数!$H$30</f>
        <v>0</v>
      </c>
      <c r="U25" s="12">
        <f t="shared" si="1"/>
        <v>0</v>
      </c>
      <c r="V25" s="545">
        <f>U25*係数!$C$30*0.0000258</f>
        <v>0</v>
      </c>
      <c r="W25" s="543">
        <f t="shared" si="2"/>
        <v>0</v>
      </c>
    </row>
    <row r="26" spans="2:23" x14ac:dyDescent="0.55000000000000004">
      <c r="B26" s="194" t="s">
        <v>60</v>
      </c>
      <c r="C26" s="25"/>
      <c r="D26" s="128"/>
      <c r="E26" s="6"/>
      <c r="F26" s="101"/>
      <c r="G26" s="101"/>
      <c r="H26" s="137"/>
      <c r="I26" s="6"/>
      <c r="J26" s="100">
        <f t="shared" si="3"/>
        <v>0</v>
      </c>
      <c r="K26" s="100">
        <f t="shared" si="4"/>
        <v>0</v>
      </c>
      <c r="L26" s="88">
        <f>K26*係数!$H$30</f>
        <v>0</v>
      </c>
      <c r="M26" s="25"/>
      <c r="N26" s="6"/>
      <c r="O26" s="6"/>
      <c r="P26" s="137"/>
      <c r="Q26" s="6"/>
      <c r="R26" s="533">
        <f t="shared" si="0"/>
        <v>0</v>
      </c>
      <c r="S26" s="12">
        <f t="shared" si="5"/>
        <v>0</v>
      </c>
      <c r="T26" s="88">
        <f>S26*係数!$H$30</f>
        <v>0</v>
      </c>
      <c r="U26" s="12">
        <f t="shared" si="1"/>
        <v>0</v>
      </c>
      <c r="V26" s="545">
        <f>U26*係数!$C$30*0.0000258</f>
        <v>0</v>
      </c>
      <c r="W26" s="543">
        <f t="shared" si="2"/>
        <v>0</v>
      </c>
    </row>
    <row r="27" spans="2:23" x14ac:dyDescent="0.55000000000000004">
      <c r="B27" s="194" t="s">
        <v>61</v>
      </c>
      <c r="C27" s="25"/>
      <c r="D27" s="128"/>
      <c r="E27" s="6"/>
      <c r="F27" s="101"/>
      <c r="G27" s="101"/>
      <c r="H27" s="137"/>
      <c r="I27" s="6"/>
      <c r="J27" s="100">
        <f t="shared" si="3"/>
        <v>0</v>
      </c>
      <c r="K27" s="100">
        <f t="shared" si="4"/>
        <v>0</v>
      </c>
      <c r="L27" s="88">
        <f>K27*係数!$H$30</f>
        <v>0</v>
      </c>
      <c r="M27" s="25"/>
      <c r="N27" s="6"/>
      <c r="O27" s="6"/>
      <c r="P27" s="137"/>
      <c r="Q27" s="6"/>
      <c r="R27" s="533">
        <f t="shared" si="0"/>
        <v>0</v>
      </c>
      <c r="S27" s="12">
        <f t="shared" si="5"/>
        <v>0</v>
      </c>
      <c r="T27" s="88">
        <f>S27*係数!$H$30</f>
        <v>0</v>
      </c>
      <c r="U27" s="12">
        <f t="shared" si="1"/>
        <v>0</v>
      </c>
      <c r="V27" s="545">
        <f>U27*係数!$C$30*0.0000258</f>
        <v>0</v>
      </c>
      <c r="W27" s="543">
        <f t="shared" si="2"/>
        <v>0</v>
      </c>
    </row>
    <row r="28" spans="2:23" x14ac:dyDescent="0.55000000000000004">
      <c r="B28" s="194" t="s">
        <v>62</v>
      </c>
      <c r="C28" s="25"/>
      <c r="D28" s="128"/>
      <c r="E28" s="6"/>
      <c r="F28" s="101"/>
      <c r="G28" s="101"/>
      <c r="H28" s="137"/>
      <c r="I28" s="6"/>
      <c r="J28" s="100">
        <f t="shared" si="3"/>
        <v>0</v>
      </c>
      <c r="K28" s="100">
        <f t="shared" si="4"/>
        <v>0</v>
      </c>
      <c r="L28" s="88">
        <f>K28*係数!$H$30</f>
        <v>0</v>
      </c>
      <c r="M28" s="25"/>
      <c r="N28" s="6"/>
      <c r="O28" s="6"/>
      <c r="P28" s="137"/>
      <c r="Q28" s="6"/>
      <c r="R28" s="533">
        <f t="shared" si="0"/>
        <v>0</v>
      </c>
      <c r="S28" s="12">
        <f t="shared" si="5"/>
        <v>0</v>
      </c>
      <c r="T28" s="88">
        <f>S28*係数!$H$30</f>
        <v>0</v>
      </c>
      <c r="U28" s="12">
        <f t="shared" si="1"/>
        <v>0</v>
      </c>
      <c r="V28" s="545">
        <f>U28*係数!$C$30*0.0000258</f>
        <v>0</v>
      </c>
      <c r="W28" s="543">
        <f t="shared" si="2"/>
        <v>0</v>
      </c>
    </row>
    <row r="29" spans="2:23" x14ac:dyDescent="0.55000000000000004">
      <c r="B29" s="194" t="s">
        <v>63</v>
      </c>
      <c r="C29" s="25"/>
      <c r="D29" s="128"/>
      <c r="E29" s="6"/>
      <c r="F29" s="101"/>
      <c r="G29" s="101"/>
      <c r="H29" s="137"/>
      <c r="I29" s="6"/>
      <c r="J29" s="100">
        <f t="shared" si="3"/>
        <v>0</v>
      </c>
      <c r="K29" s="100">
        <f t="shared" si="4"/>
        <v>0</v>
      </c>
      <c r="L29" s="88">
        <f>K29*係数!$H$30</f>
        <v>0</v>
      </c>
      <c r="M29" s="25"/>
      <c r="N29" s="6"/>
      <c r="O29" s="6"/>
      <c r="P29" s="137"/>
      <c r="Q29" s="6"/>
      <c r="R29" s="533">
        <f t="shared" si="0"/>
        <v>0</v>
      </c>
      <c r="S29" s="12">
        <f t="shared" si="5"/>
        <v>0</v>
      </c>
      <c r="T29" s="88">
        <f>S29*係数!$H$30</f>
        <v>0</v>
      </c>
      <c r="U29" s="12">
        <f t="shared" si="1"/>
        <v>0</v>
      </c>
      <c r="V29" s="545">
        <f>U29*係数!$C$30*0.0000258</f>
        <v>0</v>
      </c>
      <c r="W29" s="543">
        <f t="shared" si="2"/>
        <v>0</v>
      </c>
    </row>
    <row r="30" spans="2:23" x14ac:dyDescent="0.55000000000000004">
      <c r="B30" s="194" t="s">
        <v>64</v>
      </c>
      <c r="C30" s="25"/>
      <c r="D30" s="128"/>
      <c r="E30" s="6"/>
      <c r="F30" s="101"/>
      <c r="G30" s="101"/>
      <c r="H30" s="137"/>
      <c r="I30" s="6"/>
      <c r="J30" s="100">
        <f t="shared" si="3"/>
        <v>0</v>
      </c>
      <c r="K30" s="100">
        <f t="shared" si="4"/>
        <v>0</v>
      </c>
      <c r="L30" s="88">
        <f>K30*係数!$H$30</f>
        <v>0</v>
      </c>
      <c r="M30" s="25"/>
      <c r="N30" s="6"/>
      <c r="O30" s="6"/>
      <c r="P30" s="137"/>
      <c r="Q30" s="6"/>
      <c r="R30" s="533">
        <f t="shared" si="0"/>
        <v>0</v>
      </c>
      <c r="S30" s="12">
        <f t="shared" si="5"/>
        <v>0</v>
      </c>
      <c r="T30" s="88">
        <f>S30*係数!$H$30</f>
        <v>0</v>
      </c>
      <c r="U30" s="12">
        <f t="shared" si="1"/>
        <v>0</v>
      </c>
      <c r="V30" s="545">
        <f>U30*係数!$C$30*0.0000258</f>
        <v>0</v>
      </c>
      <c r="W30" s="543">
        <f t="shared" si="2"/>
        <v>0</v>
      </c>
    </row>
    <row r="31" spans="2:23" x14ac:dyDescent="0.55000000000000004">
      <c r="B31" s="194" t="s">
        <v>65</v>
      </c>
      <c r="C31" s="25"/>
      <c r="D31" s="128"/>
      <c r="E31" s="6"/>
      <c r="F31" s="101"/>
      <c r="G31" s="101"/>
      <c r="H31" s="137"/>
      <c r="I31" s="6"/>
      <c r="J31" s="100">
        <f t="shared" si="3"/>
        <v>0</v>
      </c>
      <c r="K31" s="100">
        <f t="shared" si="4"/>
        <v>0</v>
      </c>
      <c r="L31" s="88">
        <f>K31*係数!$H$30</f>
        <v>0</v>
      </c>
      <c r="M31" s="25"/>
      <c r="N31" s="6"/>
      <c r="O31" s="6"/>
      <c r="P31" s="137"/>
      <c r="Q31" s="6"/>
      <c r="R31" s="533">
        <f t="shared" si="0"/>
        <v>0</v>
      </c>
      <c r="S31" s="12">
        <f t="shared" si="5"/>
        <v>0</v>
      </c>
      <c r="T31" s="88">
        <f>S31*係数!$H$30</f>
        <v>0</v>
      </c>
      <c r="U31" s="12">
        <f t="shared" si="1"/>
        <v>0</v>
      </c>
      <c r="V31" s="545">
        <f>U31*係数!$C$30*0.0000258</f>
        <v>0</v>
      </c>
      <c r="W31" s="543">
        <f t="shared" si="2"/>
        <v>0</v>
      </c>
    </row>
    <row r="32" spans="2:23" x14ac:dyDescent="0.55000000000000004">
      <c r="B32" s="194" t="s">
        <v>66</v>
      </c>
      <c r="C32" s="25"/>
      <c r="D32" s="128"/>
      <c r="E32" s="6"/>
      <c r="F32" s="101"/>
      <c r="G32" s="101"/>
      <c r="H32" s="137"/>
      <c r="I32" s="6"/>
      <c r="J32" s="100">
        <f t="shared" si="3"/>
        <v>0</v>
      </c>
      <c r="K32" s="100">
        <f t="shared" si="4"/>
        <v>0</v>
      </c>
      <c r="L32" s="88">
        <f>K32*係数!$H$30</f>
        <v>0</v>
      </c>
      <c r="M32" s="25"/>
      <c r="N32" s="6"/>
      <c r="O32" s="6"/>
      <c r="P32" s="137"/>
      <c r="Q32" s="6"/>
      <c r="R32" s="533">
        <f t="shared" si="0"/>
        <v>0</v>
      </c>
      <c r="S32" s="12">
        <f t="shared" si="5"/>
        <v>0</v>
      </c>
      <c r="T32" s="88">
        <f>S32*係数!$H$30</f>
        <v>0</v>
      </c>
      <c r="U32" s="12">
        <f t="shared" si="1"/>
        <v>0</v>
      </c>
      <c r="V32" s="545">
        <f>U32*係数!$C$30*0.0000258</f>
        <v>0</v>
      </c>
      <c r="W32" s="543">
        <f t="shared" si="2"/>
        <v>0</v>
      </c>
    </row>
    <row r="33" spans="2:23" x14ac:dyDescent="0.55000000000000004">
      <c r="B33" s="194" t="s">
        <v>67</v>
      </c>
      <c r="C33" s="25"/>
      <c r="D33" s="128"/>
      <c r="E33" s="6"/>
      <c r="F33" s="101"/>
      <c r="G33" s="101"/>
      <c r="H33" s="137"/>
      <c r="I33" s="6"/>
      <c r="J33" s="100">
        <f t="shared" si="3"/>
        <v>0</v>
      </c>
      <c r="K33" s="100">
        <f t="shared" si="4"/>
        <v>0</v>
      </c>
      <c r="L33" s="88">
        <f>K33*係数!$H$30</f>
        <v>0</v>
      </c>
      <c r="M33" s="25"/>
      <c r="N33" s="6"/>
      <c r="O33" s="6"/>
      <c r="P33" s="137"/>
      <c r="Q33" s="6"/>
      <c r="R33" s="533">
        <f t="shared" si="0"/>
        <v>0</v>
      </c>
      <c r="S33" s="12">
        <f t="shared" si="5"/>
        <v>0</v>
      </c>
      <c r="T33" s="88">
        <f>S33*係数!$H$30</f>
        <v>0</v>
      </c>
      <c r="U33" s="12">
        <f t="shared" si="1"/>
        <v>0</v>
      </c>
      <c r="V33" s="545">
        <f>U33*係数!$C$30*0.0000258</f>
        <v>0</v>
      </c>
      <c r="W33" s="543">
        <f t="shared" si="2"/>
        <v>0</v>
      </c>
    </row>
    <row r="34" spans="2:23" x14ac:dyDescent="0.55000000000000004">
      <c r="B34" s="194" t="s">
        <v>68</v>
      </c>
      <c r="C34" s="25"/>
      <c r="D34" s="128"/>
      <c r="E34" s="6"/>
      <c r="F34" s="101"/>
      <c r="G34" s="101"/>
      <c r="H34" s="137"/>
      <c r="I34" s="6"/>
      <c r="J34" s="100">
        <f t="shared" si="3"/>
        <v>0</v>
      </c>
      <c r="K34" s="100">
        <f t="shared" si="4"/>
        <v>0</v>
      </c>
      <c r="L34" s="88">
        <f>K34*係数!$H$30</f>
        <v>0</v>
      </c>
      <c r="M34" s="25"/>
      <c r="N34" s="6"/>
      <c r="O34" s="6"/>
      <c r="P34" s="137"/>
      <c r="Q34" s="6"/>
      <c r="R34" s="533">
        <f t="shared" si="0"/>
        <v>0</v>
      </c>
      <c r="S34" s="12">
        <f t="shared" si="5"/>
        <v>0</v>
      </c>
      <c r="T34" s="88">
        <f>S34*係数!$H$30</f>
        <v>0</v>
      </c>
      <c r="U34" s="12">
        <f t="shared" si="1"/>
        <v>0</v>
      </c>
      <c r="V34" s="545">
        <f>U34*係数!$C$30*0.0000258</f>
        <v>0</v>
      </c>
      <c r="W34" s="543">
        <f t="shared" si="2"/>
        <v>0</v>
      </c>
    </row>
    <row r="35" spans="2:23" x14ac:dyDescent="0.55000000000000004">
      <c r="B35" s="194" t="s">
        <v>69</v>
      </c>
      <c r="C35" s="25"/>
      <c r="D35" s="128"/>
      <c r="E35" s="6"/>
      <c r="F35" s="101"/>
      <c r="G35" s="101"/>
      <c r="H35" s="137"/>
      <c r="I35" s="6"/>
      <c r="J35" s="100">
        <f t="shared" si="3"/>
        <v>0</v>
      </c>
      <c r="K35" s="100">
        <f t="shared" si="4"/>
        <v>0</v>
      </c>
      <c r="L35" s="88">
        <f>K35*係数!$H$30</f>
        <v>0</v>
      </c>
      <c r="M35" s="25"/>
      <c r="N35" s="6"/>
      <c r="O35" s="6"/>
      <c r="P35" s="137"/>
      <c r="Q35" s="6"/>
      <c r="R35" s="533">
        <f t="shared" si="0"/>
        <v>0</v>
      </c>
      <c r="S35" s="12">
        <f t="shared" si="5"/>
        <v>0</v>
      </c>
      <c r="T35" s="88">
        <f>S35*係数!$H$30</f>
        <v>0</v>
      </c>
      <c r="U35" s="12">
        <f t="shared" si="1"/>
        <v>0</v>
      </c>
      <c r="V35" s="545">
        <f>U35*係数!$C$30*0.0000258</f>
        <v>0</v>
      </c>
      <c r="W35" s="543">
        <f t="shared" si="2"/>
        <v>0</v>
      </c>
    </row>
    <row r="36" spans="2:23" x14ac:dyDescent="0.55000000000000004">
      <c r="B36" s="194" t="s">
        <v>70</v>
      </c>
      <c r="C36" s="25"/>
      <c r="D36" s="128"/>
      <c r="E36" s="6"/>
      <c r="F36" s="101"/>
      <c r="G36" s="101"/>
      <c r="H36" s="137"/>
      <c r="I36" s="6"/>
      <c r="J36" s="100">
        <f t="shared" si="3"/>
        <v>0</v>
      </c>
      <c r="K36" s="100">
        <f t="shared" si="4"/>
        <v>0</v>
      </c>
      <c r="L36" s="88">
        <f>K36*係数!$H$30</f>
        <v>0</v>
      </c>
      <c r="M36" s="25"/>
      <c r="N36" s="6"/>
      <c r="O36" s="6"/>
      <c r="P36" s="137"/>
      <c r="Q36" s="6"/>
      <c r="R36" s="533">
        <f t="shared" si="0"/>
        <v>0</v>
      </c>
      <c r="S36" s="12">
        <f t="shared" si="5"/>
        <v>0</v>
      </c>
      <c r="T36" s="88">
        <f>S36*係数!$H$30</f>
        <v>0</v>
      </c>
      <c r="U36" s="12">
        <f t="shared" si="1"/>
        <v>0</v>
      </c>
      <c r="V36" s="545">
        <f>U36*係数!$C$30*0.0000258</f>
        <v>0</v>
      </c>
      <c r="W36" s="543">
        <f t="shared" si="2"/>
        <v>0</v>
      </c>
    </row>
    <row r="37" spans="2:23" x14ac:dyDescent="0.55000000000000004">
      <c r="B37" s="194" t="s">
        <v>71</v>
      </c>
      <c r="C37" s="25"/>
      <c r="D37" s="128"/>
      <c r="E37" s="6"/>
      <c r="F37" s="101"/>
      <c r="G37" s="101"/>
      <c r="H37" s="137"/>
      <c r="I37" s="6"/>
      <c r="J37" s="100">
        <f t="shared" si="3"/>
        <v>0</v>
      </c>
      <c r="K37" s="100">
        <f t="shared" si="4"/>
        <v>0</v>
      </c>
      <c r="L37" s="88">
        <f>K37*係数!$H$30</f>
        <v>0</v>
      </c>
      <c r="M37" s="25"/>
      <c r="N37" s="6"/>
      <c r="O37" s="6"/>
      <c r="P37" s="137"/>
      <c r="Q37" s="6"/>
      <c r="R37" s="533">
        <f t="shared" si="0"/>
        <v>0</v>
      </c>
      <c r="S37" s="12">
        <f t="shared" si="5"/>
        <v>0</v>
      </c>
      <c r="T37" s="88">
        <f>S37*係数!$H$30</f>
        <v>0</v>
      </c>
      <c r="U37" s="12">
        <f t="shared" si="1"/>
        <v>0</v>
      </c>
      <c r="V37" s="545">
        <f>U37*係数!$C$30*0.0000258</f>
        <v>0</v>
      </c>
      <c r="W37" s="543">
        <f t="shared" si="2"/>
        <v>0</v>
      </c>
    </row>
    <row r="38" spans="2:23" x14ac:dyDescent="0.55000000000000004">
      <c r="B38" s="194" t="s">
        <v>72</v>
      </c>
      <c r="C38" s="25"/>
      <c r="D38" s="128"/>
      <c r="E38" s="6"/>
      <c r="F38" s="101"/>
      <c r="G38" s="101"/>
      <c r="H38" s="137"/>
      <c r="I38" s="6"/>
      <c r="J38" s="100">
        <f t="shared" si="3"/>
        <v>0</v>
      </c>
      <c r="K38" s="100">
        <f t="shared" si="4"/>
        <v>0</v>
      </c>
      <c r="L38" s="88">
        <f>K38*係数!$H$30</f>
        <v>0</v>
      </c>
      <c r="M38" s="25"/>
      <c r="N38" s="6"/>
      <c r="O38" s="6"/>
      <c r="P38" s="137"/>
      <c r="Q38" s="6"/>
      <c r="R38" s="533">
        <f t="shared" si="0"/>
        <v>0</v>
      </c>
      <c r="S38" s="12">
        <f t="shared" si="5"/>
        <v>0</v>
      </c>
      <c r="T38" s="88">
        <f>S38*係数!$H$30</f>
        <v>0</v>
      </c>
      <c r="U38" s="12">
        <f t="shared" si="1"/>
        <v>0</v>
      </c>
      <c r="V38" s="545">
        <f>U38*係数!$C$30*0.0000258</f>
        <v>0</v>
      </c>
      <c r="W38" s="543">
        <f t="shared" si="2"/>
        <v>0</v>
      </c>
    </row>
    <row r="39" spans="2:23" x14ac:dyDescent="0.55000000000000004">
      <c r="B39" s="194" t="s">
        <v>73</v>
      </c>
      <c r="C39" s="25"/>
      <c r="D39" s="128"/>
      <c r="E39" s="6"/>
      <c r="F39" s="101"/>
      <c r="G39" s="101"/>
      <c r="H39" s="137"/>
      <c r="I39" s="6"/>
      <c r="J39" s="100">
        <f t="shared" si="3"/>
        <v>0</v>
      </c>
      <c r="K39" s="100">
        <f t="shared" si="4"/>
        <v>0</v>
      </c>
      <c r="L39" s="88">
        <f>K39*係数!$H$30</f>
        <v>0</v>
      </c>
      <c r="M39" s="25"/>
      <c r="N39" s="6"/>
      <c r="O39" s="6"/>
      <c r="P39" s="137"/>
      <c r="Q39" s="6"/>
      <c r="R39" s="533">
        <f t="shared" si="0"/>
        <v>0</v>
      </c>
      <c r="S39" s="12">
        <f t="shared" si="5"/>
        <v>0</v>
      </c>
      <c r="T39" s="88">
        <f>S39*係数!$H$30</f>
        <v>0</v>
      </c>
      <c r="U39" s="12">
        <f t="shared" si="1"/>
        <v>0</v>
      </c>
      <c r="V39" s="545">
        <f>U39*係数!$C$30*0.0000258</f>
        <v>0</v>
      </c>
      <c r="W39" s="543">
        <f t="shared" si="2"/>
        <v>0</v>
      </c>
    </row>
    <row r="40" spans="2:23" x14ac:dyDescent="0.55000000000000004">
      <c r="B40" s="194" t="s">
        <v>74</v>
      </c>
      <c r="C40" s="25"/>
      <c r="D40" s="128"/>
      <c r="E40" s="6"/>
      <c r="F40" s="101"/>
      <c r="G40" s="101"/>
      <c r="H40" s="137"/>
      <c r="I40" s="6"/>
      <c r="J40" s="100">
        <f t="shared" si="3"/>
        <v>0</v>
      </c>
      <c r="K40" s="100">
        <f t="shared" si="4"/>
        <v>0</v>
      </c>
      <c r="L40" s="88">
        <f>K40*係数!$H$30</f>
        <v>0</v>
      </c>
      <c r="M40" s="25"/>
      <c r="N40" s="6"/>
      <c r="O40" s="6"/>
      <c r="P40" s="137"/>
      <c r="Q40" s="6"/>
      <c r="R40" s="533">
        <f t="shared" si="0"/>
        <v>0</v>
      </c>
      <c r="S40" s="12">
        <f t="shared" si="5"/>
        <v>0</v>
      </c>
      <c r="T40" s="88">
        <f>S40*係数!$H$30</f>
        <v>0</v>
      </c>
      <c r="U40" s="12">
        <f t="shared" si="1"/>
        <v>0</v>
      </c>
      <c r="V40" s="545">
        <f>U40*係数!$C$30*0.0000258</f>
        <v>0</v>
      </c>
      <c r="W40" s="543">
        <f t="shared" si="2"/>
        <v>0</v>
      </c>
    </row>
    <row r="41" spans="2:23" x14ac:dyDescent="0.55000000000000004">
      <c r="B41" s="194" t="s">
        <v>75</v>
      </c>
      <c r="C41" s="25"/>
      <c r="D41" s="128"/>
      <c r="E41" s="6"/>
      <c r="F41" s="101"/>
      <c r="G41" s="101"/>
      <c r="H41" s="137"/>
      <c r="I41" s="6"/>
      <c r="J41" s="100">
        <f t="shared" si="3"/>
        <v>0</v>
      </c>
      <c r="K41" s="100">
        <f t="shared" si="4"/>
        <v>0</v>
      </c>
      <c r="L41" s="88">
        <f>K41*係数!$H$30</f>
        <v>0</v>
      </c>
      <c r="M41" s="25"/>
      <c r="N41" s="6"/>
      <c r="O41" s="6"/>
      <c r="P41" s="137"/>
      <c r="Q41" s="6"/>
      <c r="R41" s="533">
        <f t="shared" si="0"/>
        <v>0</v>
      </c>
      <c r="S41" s="12">
        <f t="shared" si="5"/>
        <v>0</v>
      </c>
      <c r="T41" s="88">
        <f>S41*係数!$H$30</f>
        <v>0</v>
      </c>
      <c r="U41" s="12">
        <f t="shared" si="1"/>
        <v>0</v>
      </c>
      <c r="V41" s="545">
        <f>U41*係数!$C$30*0.0000258</f>
        <v>0</v>
      </c>
      <c r="W41" s="543">
        <f t="shared" si="2"/>
        <v>0</v>
      </c>
    </row>
    <row r="42" spans="2:23" x14ac:dyDescent="0.55000000000000004">
      <c r="B42" s="194" t="s">
        <v>76</v>
      </c>
      <c r="C42" s="25"/>
      <c r="D42" s="128"/>
      <c r="E42" s="6"/>
      <c r="F42" s="101"/>
      <c r="G42" s="101"/>
      <c r="H42" s="137"/>
      <c r="I42" s="6"/>
      <c r="J42" s="100">
        <f t="shared" si="3"/>
        <v>0</v>
      </c>
      <c r="K42" s="100">
        <f t="shared" si="4"/>
        <v>0</v>
      </c>
      <c r="L42" s="88">
        <f>K42*係数!$H$30</f>
        <v>0</v>
      </c>
      <c r="M42" s="25"/>
      <c r="N42" s="6"/>
      <c r="O42" s="6"/>
      <c r="P42" s="137"/>
      <c r="Q42" s="6"/>
      <c r="R42" s="533">
        <f t="shared" si="0"/>
        <v>0</v>
      </c>
      <c r="S42" s="12">
        <f t="shared" si="5"/>
        <v>0</v>
      </c>
      <c r="T42" s="88">
        <f>S42*係数!$H$30</f>
        <v>0</v>
      </c>
      <c r="U42" s="12">
        <f t="shared" si="1"/>
        <v>0</v>
      </c>
      <c r="V42" s="545">
        <f>U42*係数!$C$30*0.0000258</f>
        <v>0</v>
      </c>
      <c r="W42" s="543">
        <f t="shared" si="2"/>
        <v>0</v>
      </c>
    </row>
    <row r="43" spans="2:23" x14ac:dyDescent="0.55000000000000004">
      <c r="B43" s="194" t="s">
        <v>77</v>
      </c>
      <c r="C43" s="25"/>
      <c r="D43" s="128"/>
      <c r="E43" s="6"/>
      <c r="F43" s="101"/>
      <c r="G43" s="101"/>
      <c r="H43" s="137"/>
      <c r="I43" s="6"/>
      <c r="J43" s="100">
        <f t="shared" si="3"/>
        <v>0</v>
      </c>
      <c r="K43" s="100">
        <f t="shared" si="4"/>
        <v>0</v>
      </c>
      <c r="L43" s="88">
        <f>K43*係数!$H$30</f>
        <v>0</v>
      </c>
      <c r="M43" s="25"/>
      <c r="N43" s="6"/>
      <c r="O43" s="6"/>
      <c r="P43" s="137"/>
      <c r="Q43" s="6"/>
      <c r="R43" s="533">
        <f t="shared" si="0"/>
        <v>0</v>
      </c>
      <c r="S43" s="12">
        <f t="shared" si="5"/>
        <v>0</v>
      </c>
      <c r="T43" s="88">
        <f>S43*係数!$H$30</f>
        <v>0</v>
      </c>
      <c r="U43" s="12">
        <f t="shared" si="1"/>
        <v>0</v>
      </c>
      <c r="V43" s="545">
        <f>U43*係数!$C$30*0.0000258</f>
        <v>0</v>
      </c>
      <c r="W43" s="543">
        <f t="shared" si="2"/>
        <v>0</v>
      </c>
    </row>
    <row r="44" spans="2:23" x14ac:dyDescent="0.55000000000000004">
      <c r="B44" s="194" t="s">
        <v>78</v>
      </c>
      <c r="C44" s="25"/>
      <c r="D44" s="128"/>
      <c r="E44" s="6"/>
      <c r="F44" s="101"/>
      <c r="G44" s="101"/>
      <c r="H44" s="137"/>
      <c r="I44" s="6"/>
      <c r="J44" s="100">
        <f t="shared" si="3"/>
        <v>0</v>
      </c>
      <c r="K44" s="100">
        <f t="shared" si="4"/>
        <v>0</v>
      </c>
      <c r="L44" s="88">
        <f>K44*係数!$H$30</f>
        <v>0</v>
      </c>
      <c r="M44" s="25"/>
      <c r="N44" s="6"/>
      <c r="O44" s="6"/>
      <c r="P44" s="137"/>
      <c r="Q44" s="6"/>
      <c r="R44" s="533">
        <f t="shared" si="0"/>
        <v>0</v>
      </c>
      <c r="S44" s="12">
        <f t="shared" si="5"/>
        <v>0</v>
      </c>
      <c r="T44" s="88">
        <f>S44*係数!$H$30</f>
        <v>0</v>
      </c>
      <c r="U44" s="12">
        <f t="shared" si="1"/>
        <v>0</v>
      </c>
      <c r="V44" s="545">
        <f>U44*係数!$C$30*0.0000258</f>
        <v>0</v>
      </c>
      <c r="W44" s="543">
        <f t="shared" si="2"/>
        <v>0</v>
      </c>
    </row>
    <row r="45" spans="2:23" x14ac:dyDescent="0.55000000000000004">
      <c r="B45" s="194" t="s">
        <v>79</v>
      </c>
      <c r="C45" s="25"/>
      <c r="D45" s="128"/>
      <c r="E45" s="6"/>
      <c r="F45" s="101"/>
      <c r="G45" s="101"/>
      <c r="H45" s="137"/>
      <c r="I45" s="6"/>
      <c r="J45" s="100">
        <f t="shared" si="3"/>
        <v>0</v>
      </c>
      <c r="K45" s="100">
        <f t="shared" si="4"/>
        <v>0</v>
      </c>
      <c r="L45" s="88">
        <f>K45*係数!$H$30</f>
        <v>0</v>
      </c>
      <c r="M45" s="25"/>
      <c r="N45" s="6"/>
      <c r="O45" s="6"/>
      <c r="P45" s="137"/>
      <c r="Q45" s="6"/>
      <c r="R45" s="533">
        <f t="shared" si="0"/>
        <v>0</v>
      </c>
      <c r="S45" s="12">
        <f t="shared" si="5"/>
        <v>0</v>
      </c>
      <c r="T45" s="88">
        <f>S45*係数!$H$30</f>
        <v>0</v>
      </c>
      <c r="U45" s="12">
        <f t="shared" si="1"/>
        <v>0</v>
      </c>
      <c r="V45" s="545">
        <f>U45*係数!$C$30*0.0000258</f>
        <v>0</v>
      </c>
      <c r="W45" s="543">
        <f t="shared" si="2"/>
        <v>0</v>
      </c>
    </row>
    <row r="46" spans="2:23" x14ac:dyDescent="0.55000000000000004">
      <c r="B46" s="194" t="s">
        <v>80</v>
      </c>
      <c r="C46" s="25"/>
      <c r="D46" s="128"/>
      <c r="E46" s="6"/>
      <c r="F46" s="101"/>
      <c r="G46" s="101"/>
      <c r="H46" s="137"/>
      <c r="I46" s="6"/>
      <c r="J46" s="100">
        <f t="shared" si="3"/>
        <v>0</v>
      </c>
      <c r="K46" s="100">
        <f t="shared" si="4"/>
        <v>0</v>
      </c>
      <c r="L46" s="88">
        <f>K46*係数!$H$30</f>
        <v>0</v>
      </c>
      <c r="M46" s="25"/>
      <c r="N46" s="6"/>
      <c r="O46" s="6"/>
      <c r="P46" s="137"/>
      <c r="Q46" s="6"/>
      <c r="R46" s="533">
        <f t="shared" si="0"/>
        <v>0</v>
      </c>
      <c r="S46" s="12">
        <f t="shared" si="5"/>
        <v>0</v>
      </c>
      <c r="T46" s="88">
        <f>S46*係数!$H$30</f>
        <v>0</v>
      </c>
      <c r="U46" s="12">
        <f t="shared" si="1"/>
        <v>0</v>
      </c>
      <c r="V46" s="545">
        <f>U46*係数!$C$30*0.0000258</f>
        <v>0</v>
      </c>
      <c r="W46" s="543">
        <f t="shared" si="2"/>
        <v>0</v>
      </c>
    </row>
    <row r="47" spans="2:23" x14ac:dyDescent="0.55000000000000004">
      <c r="B47" s="194" t="s">
        <v>81</v>
      </c>
      <c r="C47" s="25"/>
      <c r="D47" s="128"/>
      <c r="E47" s="6"/>
      <c r="F47" s="101"/>
      <c r="G47" s="101"/>
      <c r="H47" s="137"/>
      <c r="I47" s="6"/>
      <c r="J47" s="100">
        <f t="shared" si="3"/>
        <v>0</v>
      </c>
      <c r="K47" s="100">
        <f t="shared" si="4"/>
        <v>0</v>
      </c>
      <c r="L47" s="88">
        <f>K47*係数!$H$30</f>
        <v>0</v>
      </c>
      <c r="M47" s="25"/>
      <c r="N47" s="6"/>
      <c r="O47" s="6"/>
      <c r="P47" s="137"/>
      <c r="Q47" s="6"/>
      <c r="R47" s="533">
        <f t="shared" si="0"/>
        <v>0</v>
      </c>
      <c r="S47" s="12">
        <f t="shared" si="5"/>
        <v>0</v>
      </c>
      <c r="T47" s="88">
        <f>S47*係数!$H$30</f>
        <v>0</v>
      </c>
      <c r="U47" s="12">
        <f t="shared" si="1"/>
        <v>0</v>
      </c>
      <c r="V47" s="545">
        <f>U47*係数!$C$30*0.0000258</f>
        <v>0</v>
      </c>
      <c r="W47" s="543">
        <f t="shared" si="2"/>
        <v>0</v>
      </c>
    </row>
    <row r="48" spans="2:23" x14ac:dyDescent="0.55000000000000004">
      <c r="B48" s="194" t="s">
        <v>82</v>
      </c>
      <c r="C48" s="25"/>
      <c r="D48" s="128"/>
      <c r="E48" s="6"/>
      <c r="F48" s="101"/>
      <c r="G48" s="101"/>
      <c r="H48" s="137"/>
      <c r="I48" s="6"/>
      <c r="J48" s="100">
        <f t="shared" si="3"/>
        <v>0</v>
      </c>
      <c r="K48" s="100">
        <f t="shared" si="4"/>
        <v>0</v>
      </c>
      <c r="L48" s="88">
        <f>K48*係数!$H$30</f>
        <v>0</v>
      </c>
      <c r="M48" s="25"/>
      <c r="N48" s="6"/>
      <c r="O48" s="6"/>
      <c r="P48" s="137"/>
      <c r="Q48" s="6"/>
      <c r="R48" s="533">
        <f t="shared" si="0"/>
        <v>0</v>
      </c>
      <c r="S48" s="12">
        <f t="shared" si="5"/>
        <v>0</v>
      </c>
      <c r="T48" s="88">
        <f>S48*係数!$H$30</f>
        <v>0</v>
      </c>
      <c r="U48" s="12">
        <f t="shared" si="1"/>
        <v>0</v>
      </c>
      <c r="V48" s="545">
        <f>U48*係数!$C$30*0.0000258</f>
        <v>0</v>
      </c>
      <c r="W48" s="543">
        <f t="shared" si="2"/>
        <v>0</v>
      </c>
    </row>
    <row r="49" spans="2:23" x14ac:dyDescent="0.55000000000000004">
      <c r="B49" s="194" t="s">
        <v>83</v>
      </c>
      <c r="C49" s="25"/>
      <c r="D49" s="128"/>
      <c r="E49" s="6"/>
      <c r="F49" s="101"/>
      <c r="G49" s="101"/>
      <c r="H49" s="137"/>
      <c r="I49" s="6"/>
      <c r="J49" s="100">
        <f t="shared" si="3"/>
        <v>0</v>
      </c>
      <c r="K49" s="100">
        <f t="shared" si="4"/>
        <v>0</v>
      </c>
      <c r="L49" s="88">
        <f>K49*係数!$H$30</f>
        <v>0</v>
      </c>
      <c r="M49" s="25"/>
      <c r="N49" s="6"/>
      <c r="O49" s="6"/>
      <c r="P49" s="137"/>
      <c r="Q49" s="6"/>
      <c r="R49" s="533">
        <f t="shared" si="0"/>
        <v>0</v>
      </c>
      <c r="S49" s="12">
        <f t="shared" si="5"/>
        <v>0</v>
      </c>
      <c r="T49" s="88">
        <f>S49*係数!$H$30</f>
        <v>0</v>
      </c>
      <c r="U49" s="12">
        <f t="shared" si="1"/>
        <v>0</v>
      </c>
      <c r="V49" s="545">
        <f>U49*係数!$C$30*0.0000258</f>
        <v>0</v>
      </c>
      <c r="W49" s="543">
        <f t="shared" si="2"/>
        <v>0</v>
      </c>
    </row>
    <row r="50" spans="2:23" x14ac:dyDescent="0.55000000000000004">
      <c r="B50" s="194" t="s">
        <v>84</v>
      </c>
      <c r="C50" s="25"/>
      <c r="D50" s="128"/>
      <c r="E50" s="6"/>
      <c r="F50" s="101"/>
      <c r="G50" s="101"/>
      <c r="H50" s="137"/>
      <c r="I50" s="6"/>
      <c r="J50" s="100">
        <f t="shared" si="3"/>
        <v>0</v>
      </c>
      <c r="K50" s="100">
        <f t="shared" si="4"/>
        <v>0</v>
      </c>
      <c r="L50" s="88">
        <f>K50*係数!$H$30</f>
        <v>0</v>
      </c>
      <c r="M50" s="25"/>
      <c r="N50" s="6"/>
      <c r="O50" s="6"/>
      <c r="P50" s="137"/>
      <c r="Q50" s="6"/>
      <c r="R50" s="533">
        <f t="shared" si="0"/>
        <v>0</v>
      </c>
      <c r="S50" s="12">
        <f t="shared" si="5"/>
        <v>0</v>
      </c>
      <c r="T50" s="88">
        <f>S50*係数!$H$30</f>
        <v>0</v>
      </c>
      <c r="U50" s="12">
        <f t="shared" si="1"/>
        <v>0</v>
      </c>
      <c r="V50" s="545">
        <f>U50*係数!$C$30*0.0000258</f>
        <v>0</v>
      </c>
      <c r="W50" s="543">
        <f t="shared" si="2"/>
        <v>0</v>
      </c>
    </row>
    <row r="51" spans="2:23" x14ac:dyDescent="0.55000000000000004">
      <c r="B51" s="194" t="s">
        <v>85</v>
      </c>
      <c r="C51" s="25"/>
      <c r="D51" s="128"/>
      <c r="E51" s="6"/>
      <c r="F51" s="101"/>
      <c r="G51" s="101"/>
      <c r="H51" s="137"/>
      <c r="I51" s="6"/>
      <c r="J51" s="100">
        <f t="shared" si="3"/>
        <v>0</v>
      </c>
      <c r="K51" s="100">
        <f t="shared" si="4"/>
        <v>0</v>
      </c>
      <c r="L51" s="88">
        <f>K51*係数!$H$30</f>
        <v>0</v>
      </c>
      <c r="M51" s="25"/>
      <c r="N51" s="6"/>
      <c r="O51" s="6"/>
      <c r="P51" s="137"/>
      <c r="Q51" s="6"/>
      <c r="R51" s="533">
        <f t="shared" si="0"/>
        <v>0</v>
      </c>
      <c r="S51" s="12">
        <f t="shared" si="5"/>
        <v>0</v>
      </c>
      <c r="T51" s="88">
        <f>S51*係数!$H$30</f>
        <v>0</v>
      </c>
      <c r="U51" s="12">
        <f t="shared" si="1"/>
        <v>0</v>
      </c>
      <c r="V51" s="545">
        <f>U51*係数!$C$30*0.0000258</f>
        <v>0</v>
      </c>
      <c r="W51" s="543">
        <f t="shared" si="2"/>
        <v>0</v>
      </c>
    </row>
    <row r="52" spans="2:23" x14ac:dyDescent="0.55000000000000004">
      <c r="B52" s="194" t="s">
        <v>86</v>
      </c>
      <c r="C52" s="25"/>
      <c r="D52" s="128"/>
      <c r="E52" s="6"/>
      <c r="F52" s="101"/>
      <c r="G52" s="101"/>
      <c r="H52" s="137"/>
      <c r="I52" s="6"/>
      <c r="J52" s="100">
        <f t="shared" si="3"/>
        <v>0</v>
      </c>
      <c r="K52" s="100">
        <f t="shared" si="4"/>
        <v>0</v>
      </c>
      <c r="L52" s="88">
        <f>K52*係数!$H$30</f>
        <v>0</v>
      </c>
      <c r="M52" s="25"/>
      <c r="N52" s="6"/>
      <c r="O52" s="6"/>
      <c r="P52" s="137"/>
      <c r="Q52" s="6"/>
      <c r="R52" s="533">
        <f t="shared" si="0"/>
        <v>0</v>
      </c>
      <c r="S52" s="12">
        <f t="shared" si="5"/>
        <v>0</v>
      </c>
      <c r="T52" s="88">
        <f>S52*係数!$H$30</f>
        <v>0</v>
      </c>
      <c r="U52" s="12">
        <f t="shared" si="1"/>
        <v>0</v>
      </c>
      <c r="V52" s="545">
        <f>U52*係数!$C$30*0.0000258</f>
        <v>0</v>
      </c>
      <c r="W52" s="543">
        <f t="shared" si="2"/>
        <v>0</v>
      </c>
    </row>
    <row r="53" spans="2:23" x14ac:dyDescent="0.55000000000000004">
      <c r="B53" s="194" t="s">
        <v>87</v>
      </c>
      <c r="C53" s="25"/>
      <c r="D53" s="128"/>
      <c r="E53" s="6"/>
      <c r="F53" s="101"/>
      <c r="G53" s="101"/>
      <c r="H53" s="137"/>
      <c r="I53" s="6"/>
      <c r="J53" s="100">
        <f t="shared" si="3"/>
        <v>0</v>
      </c>
      <c r="K53" s="100">
        <f t="shared" si="4"/>
        <v>0</v>
      </c>
      <c r="L53" s="88">
        <f>K53*係数!$H$30</f>
        <v>0</v>
      </c>
      <c r="M53" s="25"/>
      <c r="N53" s="6"/>
      <c r="O53" s="6"/>
      <c r="P53" s="137"/>
      <c r="Q53" s="6"/>
      <c r="R53" s="533">
        <f t="shared" si="0"/>
        <v>0</v>
      </c>
      <c r="S53" s="12">
        <f t="shared" si="5"/>
        <v>0</v>
      </c>
      <c r="T53" s="88">
        <f>S53*係数!$H$30</f>
        <v>0</v>
      </c>
      <c r="U53" s="12">
        <f t="shared" si="1"/>
        <v>0</v>
      </c>
      <c r="V53" s="545">
        <f>U53*係数!$C$30*0.0000258</f>
        <v>0</v>
      </c>
      <c r="W53" s="543">
        <f t="shared" si="2"/>
        <v>0</v>
      </c>
    </row>
    <row r="54" spans="2:23" x14ac:dyDescent="0.55000000000000004">
      <c r="B54" s="194" t="s">
        <v>88</v>
      </c>
      <c r="C54" s="25"/>
      <c r="D54" s="128"/>
      <c r="E54" s="6"/>
      <c r="F54" s="101"/>
      <c r="G54" s="101"/>
      <c r="H54" s="137"/>
      <c r="I54" s="6"/>
      <c r="J54" s="100">
        <f t="shared" si="3"/>
        <v>0</v>
      </c>
      <c r="K54" s="100">
        <f t="shared" si="4"/>
        <v>0</v>
      </c>
      <c r="L54" s="88">
        <f>K54*係数!$H$30</f>
        <v>0</v>
      </c>
      <c r="M54" s="25"/>
      <c r="N54" s="6"/>
      <c r="O54" s="6"/>
      <c r="P54" s="137"/>
      <c r="Q54" s="6"/>
      <c r="R54" s="533">
        <f t="shared" si="0"/>
        <v>0</v>
      </c>
      <c r="S54" s="12">
        <f t="shared" si="5"/>
        <v>0</v>
      </c>
      <c r="T54" s="88">
        <f>S54*係数!$H$30</f>
        <v>0</v>
      </c>
      <c r="U54" s="12">
        <f t="shared" si="1"/>
        <v>0</v>
      </c>
      <c r="V54" s="545">
        <f>U54*係数!$C$30*0.0000258</f>
        <v>0</v>
      </c>
      <c r="W54" s="543">
        <f t="shared" si="2"/>
        <v>0</v>
      </c>
    </row>
    <row r="55" spans="2:23" x14ac:dyDescent="0.55000000000000004">
      <c r="B55" s="194" t="s">
        <v>89</v>
      </c>
      <c r="C55" s="25"/>
      <c r="D55" s="128"/>
      <c r="E55" s="6"/>
      <c r="F55" s="101"/>
      <c r="G55" s="101"/>
      <c r="H55" s="137"/>
      <c r="I55" s="6"/>
      <c r="J55" s="100">
        <f t="shared" si="3"/>
        <v>0</v>
      </c>
      <c r="K55" s="100">
        <f t="shared" si="4"/>
        <v>0</v>
      </c>
      <c r="L55" s="88">
        <f>K55*係数!$H$30</f>
        <v>0</v>
      </c>
      <c r="M55" s="25"/>
      <c r="N55" s="6"/>
      <c r="O55" s="6"/>
      <c r="P55" s="137"/>
      <c r="Q55" s="6"/>
      <c r="R55" s="533">
        <f t="shared" si="0"/>
        <v>0</v>
      </c>
      <c r="S55" s="12">
        <f t="shared" si="5"/>
        <v>0</v>
      </c>
      <c r="T55" s="88">
        <f>S55*係数!$H$30</f>
        <v>0</v>
      </c>
      <c r="U55" s="12">
        <f t="shared" si="1"/>
        <v>0</v>
      </c>
      <c r="V55" s="545">
        <f>U55*係数!$C$30*0.0000258</f>
        <v>0</v>
      </c>
      <c r="W55" s="543">
        <f t="shared" si="2"/>
        <v>0</v>
      </c>
    </row>
    <row r="56" spans="2:23" x14ac:dyDescent="0.55000000000000004">
      <c r="B56" s="194" t="s">
        <v>90</v>
      </c>
      <c r="C56" s="25"/>
      <c r="D56" s="128"/>
      <c r="E56" s="6"/>
      <c r="F56" s="101"/>
      <c r="G56" s="101"/>
      <c r="H56" s="137"/>
      <c r="I56" s="6"/>
      <c r="J56" s="100">
        <f t="shared" si="3"/>
        <v>0</v>
      </c>
      <c r="K56" s="100">
        <f t="shared" si="4"/>
        <v>0</v>
      </c>
      <c r="L56" s="88">
        <f>K56*係数!$H$30</f>
        <v>0</v>
      </c>
      <c r="M56" s="25"/>
      <c r="N56" s="6"/>
      <c r="O56" s="6"/>
      <c r="P56" s="137"/>
      <c r="Q56" s="6"/>
      <c r="R56" s="533">
        <f t="shared" si="0"/>
        <v>0</v>
      </c>
      <c r="S56" s="12">
        <f t="shared" si="5"/>
        <v>0</v>
      </c>
      <c r="T56" s="88">
        <f>S56*係数!$H$30</f>
        <v>0</v>
      </c>
      <c r="U56" s="12">
        <f t="shared" si="1"/>
        <v>0</v>
      </c>
      <c r="V56" s="545">
        <f>U56*係数!$C$30*0.0000258</f>
        <v>0</v>
      </c>
      <c r="W56" s="543">
        <f t="shared" si="2"/>
        <v>0</v>
      </c>
    </row>
    <row r="57" spans="2:23" x14ac:dyDescent="0.55000000000000004">
      <c r="B57" s="194" t="s">
        <v>91</v>
      </c>
      <c r="C57" s="25"/>
      <c r="D57" s="128"/>
      <c r="E57" s="6"/>
      <c r="F57" s="101"/>
      <c r="G57" s="101"/>
      <c r="H57" s="137"/>
      <c r="I57" s="6"/>
      <c r="J57" s="100">
        <f t="shared" si="3"/>
        <v>0</v>
      </c>
      <c r="K57" s="100">
        <f t="shared" si="4"/>
        <v>0</v>
      </c>
      <c r="L57" s="88">
        <f>K57*係数!$H$30</f>
        <v>0</v>
      </c>
      <c r="M57" s="25"/>
      <c r="N57" s="6"/>
      <c r="O57" s="6"/>
      <c r="P57" s="137"/>
      <c r="Q57" s="6"/>
      <c r="R57" s="533">
        <f t="shared" si="0"/>
        <v>0</v>
      </c>
      <c r="S57" s="12">
        <f t="shared" si="5"/>
        <v>0</v>
      </c>
      <c r="T57" s="88">
        <f>S57*係数!$H$30</f>
        <v>0</v>
      </c>
      <c r="U57" s="12">
        <f t="shared" si="1"/>
        <v>0</v>
      </c>
      <c r="V57" s="545">
        <f>U57*係数!$C$30*0.0000258</f>
        <v>0</v>
      </c>
      <c r="W57" s="543">
        <f t="shared" si="2"/>
        <v>0</v>
      </c>
    </row>
    <row r="58" spans="2:23" x14ac:dyDescent="0.55000000000000004">
      <c r="B58" s="194" t="s">
        <v>92</v>
      </c>
      <c r="C58" s="25"/>
      <c r="D58" s="128"/>
      <c r="E58" s="6"/>
      <c r="F58" s="101"/>
      <c r="G58" s="101"/>
      <c r="H58" s="137"/>
      <c r="I58" s="6"/>
      <c r="J58" s="100">
        <f t="shared" si="3"/>
        <v>0</v>
      </c>
      <c r="K58" s="100">
        <f t="shared" si="4"/>
        <v>0</v>
      </c>
      <c r="L58" s="88">
        <f>K58*係数!$H$30</f>
        <v>0</v>
      </c>
      <c r="M58" s="25"/>
      <c r="N58" s="6"/>
      <c r="O58" s="6"/>
      <c r="P58" s="137"/>
      <c r="Q58" s="6"/>
      <c r="R58" s="533">
        <f t="shared" si="0"/>
        <v>0</v>
      </c>
      <c r="S58" s="12">
        <f t="shared" si="5"/>
        <v>0</v>
      </c>
      <c r="T58" s="88">
        <f>S58*係数!$H$30</f>
        <v>0</v>
      </c>
      <c r="U58" s="12">
        <f t="shared" si="1"/>
        <v>0</v>
      </c>
      <c r="V58" s="545">
        <f>U58*係数!$C$30*0.0000258</f>
        <v>0</v>
      </c>
      <c r="W58" s="543">
        <f t="shared" si="2"/>
        <v>0</v>
      </c>
    </row>
    <row r="59" spans="2:23" x14ac:dyDescent="0.55000000000000004">
      <c r="B59" s="194" t="s">
        <v>93</v>
      </c>
      <c r="C59" s="25"/>
      <c r="D59" s="128"/>
      <c r="E59" s="6"/>
      <c r="F59" s="101"/>
      <c r="G59" s="101"/>
      <c r="H59" s="137"/>
      <c r="I59" s="6"/>
      <c r="J59" s="100">
        <f t="shared" si="3"/>
        <v>0</v>
      </c>
      <c r="K59" s="100">
        <f t="shared" si="4"/>
        <v>0</v>
      </c>
      <c r="L59" s="88">
        <f>K59*係数!$H$30</f>
        <v>0</v>
      </c>
      <c r="M59" s="25"/>
      <c r="N59" s="6"/>
      <c r="O59" s="6"/>
      <c r="P59" s="137"/>
      <c r="Q59" s="6"/>
      <c r="R59" s="533">
        <f t="shared" si="0"/>
        <v>0</v>
      </c>
      <c r="S59" s="12">
        <f t="shared" si="5"/>
        <v>0</v>
      </c>
      <c r="T59" s="88">
        <f>S59*係数!$H$30</f>
        <v>0</v>
      </c>
      <c r="U59" s="12">
        <f t="shared" si="1"/>
        <v>0</v>
      </c>
      <c r="V59" s="545">
        <f>U59*係数!$C$30*0.0000258</f>
        <v>0</v>
      </c>
      <c r="W59" s="543">
        <f t="shared" si="2"/>
        <v>0</v>
      </c>
    </row>
    <row r="60" spans="2:23" x14ac:dyDescent="0.55000000000000004">
      <c r="B60" s="194" t="s">
        <v>94</v>
      </c>
      <c r="C60" s="25"/>
      <c r="D60" s="128"/>
      <c r="E60" s="6"/>
      <c r="F60" s="101"/>
      <c r="G60" s="101"/>
      <c r="H60" s="137"/>
      <c r="I60" s="6"/>
      <c r="J60" s="100">
        <f t="shared" si="3"/>
        <v>0</v>
      </c>
      <c r="K60" s="100">
        <f t="shared" si="4"/>
        <v>0</v>
      </c>
      <c r="L60" s="88">
        <f>K60*係数!$H$30</f>
        <v>0</v>
      </c>
      <c r="M60" s="25"/>
      <c r="N60" s="6"/>
      <c r="O60" s="6"/>
      <c r="P60" s="137"/>
      <c r="Q60" s="6"/>
      <c r="R60" s="533">
        <f t="shared" si="0"/>
        <v>0</v>
      </c>
      <c r="S60" s="12">
        <f t="shared" si="5"/>
        <v>0</v>
      </c>
      <c r="T60" s="88">
        <f>S60*係数!$H$30</f>
        <v>0</v>
      </c>
      <c r="U60" s="12">
        <f t="shared" si="1"/>
        <v>0</v>
      </c>
      <c r="V60" s="545">
        <f>U60*係数!$C$30*0.0000258</f>
        <v>0</v>
      </c>
      <c r="W60" s="543">
        <f t="shared" si="2"/>
        <v>0</v>
      </c>
    </row>
    <row r="61" spans="2:23" x14ac:dyDescent="0.55000000000000004">
      <c r="B61" s="194" t="s">
        <v>95</v>
      </c>
      <c r="C61" s="25"/>
      <c r="D61" s="128"/>
      <c r="E61" s="6"/>
      <c r="F61" s="101"/>
      <c r="G61" s="101"/>
      <c r="H61" s="137"/>
      <c r="I61" s="6"/>
      <c r="J61" s="100">
        <f t="shared" si="3"/>
        <v>0</v>
      </c>
      <c r="K61" s="100">
        <f t="shared" si="4"/>
        <v>0</v>
      </c>
      <c r="L61" s="88">
        <f>K61*係数!$H$30</f>
        <v>0</v>
      </c>
      <c r="M61" s="25"/>
      <c r="N61" s="6"/>
      <c r="O61" s="6"/>
      <c r="P61" s="137"/>
      <c r="Q61" s="6"/>
      <c r="R61" s="533">
        <f t="shared" si="0"/>
        <v>0</v>
      </c>
      <c r="S61" s="12">
        <f t="shared" si="5"/>
        <v>0</v>
      </c>
      <c r="T61" s="88">
        <f>S61*係数!$H$30</f>
        <v>0</v>
      </c>
      <c r="U61" s="12">
        <f t="shared" si="1"/>
        <v>0</v>
      </c>
      <c r="V61" s="545">
        <f>U61*係数!$C$30*0.0000258</f>
        <v>0</v>
      </c>
      <c r="W61" s="543">
        <f t="shared" si="2"/>
        <v>0</v>
      </c>
    </row>
    <row r="62" spans="2:23" x14ac:dyDescent="0.55000000000000004">
      <c r="B62" s="194" t="s">
        <v>96</v>
      </c>
      <c r="C62" s="25"/>
      <c r="D62" s="128"/>
      <c r="E62" s="6"/>
      <c r="F62" s="101"/>
      <c r="G62" s="101"/>
      <c r="H62" s="137"/>
      <c r="I62" s="6"/>
      <c r="J62" s="100">
        <f t="shared" si="3"/>
        <v>0</v>
      </c>
      <c r="K62" s="100">
        <f t="shared" si="4"/>
        <v>0</v>
      </c>
      <c r="L62" s="88">
        <f>K62*係数!$H$30</f>
        <v>0</v>
      </c>
      <c r="M62" s="25"/>
      <c r="N62" s="6"/>
      <c r="O62" s="6"/>
      <c r="P62" s="137"/>
      <c r="Q62" s="6"/>
      <c r="R62" s="533">
        <f t="shared" si="0"/>
        <v>0</v>
      </c>
      <c r="S62" s="12">
        <f t="shared" si="5"/>
        <v>0</v>
      </c>
      <c r="T62" s="88">
        <f>S62*係数!$H$30</f>
        <v>0</v>
      </c>
      <c r="U62" s="12">
        <f t="shared" si="1"/>
        <v>0</v>
      </c>
      <c r="V62" s="545">
        <f>U62*係数!$C$30*0.0000258</f>
        <v>0</v>
      </c>
      <c r="W62" s="543">
        <f t="shared" si="2"/>
        <v>0</v>
      </c>
    </row>
    <row r="63" spans="2:23" x14ac:dyDescent="0.55000000000000004">
      <c r="B63" s="194" t="s">
        <v>97</v>
      </c>
      <c r="C63" s="25"/>
      <c r="D63" s="128"/>
      <c r="E63" s="6"/>
      <c r="F63" s="101"/>
      <c r="G63" s="101"/>
      <c r="H63" s="137"/>
      <c r="I63" s="6"/>
      <c r="J63" s="100">
        <f t="shared" si="3"/>
        <v>0</v>
      </c>
      <c r="K63" s="100">
        <f t="shared" si="4"/>
        <v>0</v>
      </c>
      <c r="L63" s="88">
        <f>K63*係数!$H$30</f>
        <v>0</v>
      </c>
      <c r="M63" s="25"/>
      <c r="N63" s="6"/>
      <c r="O63" s="6"/>
      <c r="P63" s="137"/>
      <c r="Q63" s="6"/>
      <c r="R63" s="533">
        <f t="shared" si="0"/>
        <v>0</v>
      </c>
      <c r="S63" s="12">
        <f t="shared" si="5"/>
        <v>0</v>
      </c>
      <c r="T63" s="88">
        <f>S63*係数!$H$30</f>
        <v>0</v>
      </c>
      <c r="U63" s="12">
        <f t="shared" si="1"/>
        <v>0</v>
      </c>
      <c r="V63" s="545">
        <f>U63*係数!$C$30*0.0000258</f>
        <v>0</v>
      </c>
      <c r="W63" s="543">
        <f t="shared" si="2"/>
        <v>0</v>
      </c>
    </row>
    <row r="64" spans="2:23" x14ac:dyDescent="0.55000000000000004">
      <c r="B64" s="194" t="s">
        <v>98</v>
      </c>
      <c r="C64" s="25"/>
      <c r="D64" s="128"/>
      <c r="E64" s="6"/>
      <c r="F64" s="101"/>
      <c r="G64" s="101"/>
      <c r="H64" s="137"/>
      <c r="I64" s="6"/>
      <c r="J64" s="100">
        <f t="shared" si="3"/>
        <v>0</v>
      </c>
      <c r="K64" s="100">
        <f t="shared" si="4"/>
        <v>0</v>
      </c>
      <c r="L64" s="88">
        <f>K64*係数!$H$30</f>
        <v>0</v>
      </c>
      <c r="M64" s="25"/>
      <c r="N64" s="6"/>
      <c r="O64" s="6"/>
      <c r="P64" s="137"/>
      <c r="Q64" s="6"/>
      <c r="R64" s="533">
        <f t="shared" si="0"/>
        <v>0</v>
      </c>
      <c r="S64" s="12">
        <f t="shared" si="5"/>
        <v>0</v>
      </c>
      <c r="T64" s="88">
        <f>S64*係数!$H$30</f>
        <v>0</v>
      </c>
      <c r="U64" s="12">
        <f t="shared" si="1"/>
        <v>0</v>
      </c>
      <c r="V64" s="545">
        <f>U64*係数!$C$30*0.0000258</f>
        <v>0</v>
      </c>
      <c r="W64" s="543">
        <f t="shared" si="2"/>
        <v>0</v>
      </c>
    </row>
    <row r="65" spans="2:23" x14ac:dyDescent="0.55000000000000004">
      <c r="B65" s="194" t="s">
        <v>99</v>
      </c>
      <c r="C65" s="25"/>
      <c r="D65" s="128"/>
      <c r="E65" s="6"/>
      <c r="F65" s="101"/>
      <c r="G65" s="101"/>
      <c r="H65" s="137"/>
      <c r="I65" s="6"/>
      <c r="J65" s="100">
        <f t="shared" si="3"/>
        <v>0</v>
      </c>
      <c r="K65" s="100">
        <f t="shared" si="4"/>
        <v>0</v>
      </c>
      <c r="L65" s="88">
        <f>K65*係数!$H$30</f>
        <v>0</v>
      </c>
      <c r="M65" s="25"/>
      <c r="N65" s="6"/>
      <c r="O65" s="6"/>
      <c r="P65" s="137"/>
      <c r="Q65" s="6"/>
      <c r="R65" s="533">
        <f t="shared" si="0"/>
        <v>0</v>
      </c>
      <c r="S65" s="12">
        <f t="shared" si="5"/>
        <v>0</v>
      </c>
      <c r="T65" s="88">
        <f>S65*係数!$H$30</f>
        <v>0</v>
      </c>
      <c r="U65" s="12">
        <f t="shared" si="1"/>
        <v>0</v>
      </c>
      <c r="V65" s="545">
        <f>U65*係数!$C$30*0.0000258</f>
        <v>0</v>
      </c>
      <c r="W65" s="543">
        <f t="shared" si="2"/>
        <v>0</v>
      </c>
    </row>
    <row r="66" spans="2:23" x14ac:dyDescent="0.55000000000000004">
      <c r="B66" s="194" t="s">
        <v>100</v>
      </c>
      <c r="C66" s="25"/>
      <c r="D66" s="128"/>
      <c r="E66" s="6"/>
      <c r="F66" s="101"/>
      <c r="G66" s="101"/>
      <c r="H66" s="137"/>
      <c r="I66" s="6"/>
      <c r="J66" s="100">
        <f t="shared" si="3"/>
        <v>0</v>
      </c>
      <c r="K66" s="100">
        <f t="shared" si="4"/>
        <v>0</v>
      </c>
      <c r="L66" s="88">
        <f>K66*係数!$H$30</f>
        <v>0</v>
      </c>
      <c r="M66" s="25"/>
      <c r="N66" s="6"/>
      <c r="O66" s="6"/>
      <c r="P66" s="137"/>
      <c r="Q66" s="6"/>
      <c r="R66" s="533">
        <f t="shared" si="0"/>
        <v>0</v>
      </c>
      <c r="S66" s="12">
        <f t="shared" si="5"/>
        <v>0</v>
      </c>
      <c r="T66" s="88">
        <f>S66*係数!$H$30</f>
        <v>0</v>
      </c>
      <c r="U66" s="12">
        <f t="shared" si="1"/>
        <v>0</v>
      </c>
      <c r="V66" s="545">
        <f>U66*係数!$C$30*0.0000258</f>
        <v>0</v>
      </c>
      <c r="W66" s="543">
        <f t="shared" si="2"/>
        <v>0</v>
      </c>
    </row>
    <row r="67" spans="2:23" x14ac:dyDescent="0.55000000000000004">
      <c r="B67" s="194" t="s">
        <v>101</v>
      </c>
      <c r="C67" s="25"/>
      <c r="D67" s="128"/>
      <c r="E67" s="6"/>
      <c r="F67" s="101"/>
      <c r="G67" s="101"/>
      <c r="H67" s="137"/>
      <c r="I67" s="6"/>
      <c r="J67" s="100">
        <f t="shared" si="3"/>
        <v>0</v>
      </c>
      <c r="K67" s="100">
        <f t="shared" si="4"/>
        <v>0</v>
      </c>
      <c r="L67" s="88">
        <f>K67*係数!$H$30</f>
        <v>0</v>
      </c>
      <c r="M67" s="25"/>
      <c r="N67" s="6"/>
      <c r="O67" s="6"/>
      <c r="P67" s="137"/>
      <c r="Q67" s="6"/>
      <c r="R67" s="533">
        <f t="shared" si="0"/>
        <v>0</v>
      </c>
      <c r="S67" s="12">
        <f t="shared" si="5"/>
        <v>0</v>
      </c>
      <c r="T67" s="88">
        <f>S67*係数!$H$30</f>
        <v>0</v>
      </c>
      <c r="U67" s="12">
        <f t="shared" si="1"/>
        <v>0</v>
      </c>
      <c r="V67" s="545">
        <f>U67*係数!$C$30*0.0000258</f>
        <v>0</v>
      </c>
      <c r="W67" s="543">
        <f t="shared" si="2"/>
        <v>0</v>
      </c>
    </row>
    <row r="68" spans="2:23" x14ac:dyDescent="0.55000000000000004">
      <c r="B68" s="194" t="s">
        <v>537</v>
      </c>
      <c r="C68" s="25"/>
      <c r="D68" s="128"/>
      <c r="E68" s="6"/>
      <c r="F68" s="101"/>
      <c r="G68" s="101"/>
      <c r="H68" s="137"/>
      <c r="I68" s="6"/>
      <c r="J68" s="100">
        <f t="shared" ref="J68:J131" si="6">IF(H68="",F68*G68,F68*G68*I68/100)</f>
        <v>0</v>
      </c>
      <c r="K68" s="100">
        <f t="shared" ref="K68:K131" si="7">D68*E68*J68/1000</f>
        <v>0</v>
      </c>
      <c r="L68" s="88">
        <f>K68*係数!$H$30</f>
        <v>0</v>
      </c>
      <c r="M68" s="25"/>
      <c r="N68" s="6"/>
      <c r="O68" s="6"/>
      <c r="P68" s="137"/>
      <c r="Q68" s="6"/>
      <c r="R68" s="533">
        <f t="shared" si="0"/>
        <v>0</v>
      </c>
      <c r="S68" s="12">
        <f t="shared" si="5"/>
        <v>0</v>
      </c>
      <c r="T68" s="88">
        <f>S68*係数!$H$30</f>
        <v>0</v>
      </c>
      <c r="U68" s="12">
        <f t="shared" si="1"/>
        <v>0</v>
      </c>
      <c r="V68" s="545">
        <f>U68*係数!$C$30*0.0000258</f>
        <v>0</v>
      </c>
      <c r="W68" s="543">
        <f t="shared" si="2"/>
        <v>0</v>
      </c>
    </row>
    <row r="69" spans="2:23" x14ac:dyDescent="0.55000000000000004">
      <c r="B69" s="194" t="s">
        <v>538</v>
      </c>
      <c r="C69" s="25"/>
      <c r="D69" s="128"/>
      <c r="E69" s="6"/>
      <c r="F69" s="101"/>
      <c r="G69" s="101"/>
      <c r="H69" s="137"/>
      <c r="I69" s="6"/>
      <c r="J69" s="100">
        <f t="shared" si="6"/>
        <v>0</v>
      </c>
      <c r="K69" s="100">
        <f t="shared" si="7"/>
        <v>0</v>
      </c>
      <c r="L69" s="88">
        <f>K69*係数!$H$30</f>
        <v>0</v>
      </c>
      <c r="M69" s="25"/>
      <c r="N69" s="6"/>
      <c r="O69" s="6"/>
      <c r="P69" s="137"/>
      <c r="Q69" s="6"/>
      <c r="R69" s="533">
        <f t="shared" si="0"/>
        <v>0</v>
      </c>
      <c r="S69" s="12">
        <f t="shared" si="5"/>
        <v>0</v>
      </c>
      <c r="T69" s="88">
        <f>S69*係数!$H$30</f>
        <v>0</v>
      </c>
      <c r="U69" s="12">
        <f t="shared" si="1"/>
        <v>0</v>
      </c>
      <c r="V69" s="545">
        <f>U69*係数!$C$30*0.0000258</f>
        <v>0</v>
      </c>
      <c r="W69" s="543">
        <f t="shared" si="2"/>
        <v>0</v>
      </c>
    </row>
    <row r="70" spans="2:23" x14ac:dyDescent="0.55000000000000004">
      <c r="B70" s="194" t="s">
        <v>539</v>
      </c>
      <c r="C70" s="25"/>
      <c r="D70" s="128"/>
      <c r="E70" s="6"/>
      <c r="F70" s="101"/>
      <c r="G70" s="101"/>
      <c r="H70" s="137"/>
      <c r="I70" s="6"/>
      <c r="J70" s="100">
        <f t="shared" si="6"/>
        <v>0</v>
      </c>
      <c r="K70" s="100">
        <f t="shared" si="7"/>
        <v>0</v>
      </c>
      <c r="L70" s="88">
        <f>K70*係数!$H$30</f>
        <v>0</v>
      </c>
      <c r="M70" s="25"/>
      <c r="N70" s="6"/>
      <c r="O70" s="6"/>
      <c r="P70" s="137"/>
      <c r="Q70" s="6"/>
      <c r="R70" s="533">
        <f t="shared" si="0"/>
        <v>0</v>
      </c>
      <c r="S70" s="12">
        <f t="shared" si="5"/>
        <v>0</v>
      </c>
      <c r="T70" s="88">
        <f>S70*係数!$H$30</f>
        <v>0</v>
      </c>
      <c r="U70" s="12">
        <f t="shared" si="1"/>
        <v>0</v>
      </c>
      <c r="V70" s="545">
        <f>U70*係数!$C$30*0.0000258</f>
        <v>0</v>
      </c>
      <c r="W70" s="543">
        <f t="shared" si="2"/>
        <v>0</v>
      </c>
    </row>
    <row r="71" spans="2:23" x14ac:dyDescent="0.55000000000000004">
      <c r="B71" s="194" t="s">
        <v>540</v>
      </c>
      <c r="C71" s="25"/>
      <c r="D71" s="128"/>
      <c r="E71" s="6"/>
      <c r="F71" s="101"/>
      <c r="G71" s="101"/>
      <c r="H71" s="137"/>
      <c r="I71" s="6"/>
      <c r="J71" s="100">
        <f t="shared" si="6"/>
        <v>0</v>
      </c>
      <c r="K71" s="100">
        <f t="shared" si="7"/>
        <v>0</v>
      </c>
      <c r="L71" s="88">
        <f>K71*係数!$H$30</f>
        <v>0</v>
      </c>
      <c r="M71" s="25"/>
      <c r="N71" s="6"/>
      <c r="O71" s="6"/>
      <c r="P71" s="137"/>
      <c r="Q71" s="6"/>
      <c r="R71" s="533">
        <f t="shared" si="0"/>
        <v>0</v>
      </c>
      <c r="S71" s="12">
        <f t="shared" si="5"/>
        <v>0</v>
      </c>
      <c r="T71" s="88">
        <f>S71*係数!$H$30</f>
        <v>0</v>
      </c>
      <c r="U71" s="12">
        <f t="shared" si="1"/>
        <v>0</v>
      </c>
      <c r="V71" s="545">
        <f>U71*係数!$C$30*0.0000258</f>
        <v>0</v>
      </c>
      <c r="W71" s="543">
        <f t="shared" si="2"/>
        <v>0</v>
      </c>
    </row>
    <row r="72" spans="2:23" x14ac:dyDescent="0.55000000000000004">
      <c r="B72" s="194" t="s">
        <v>541</v>
      </c>
      <c r="C72" s="25"/>
      <c r="D72" s="128"/>
      <c r="E72" s="6"/>
      <c r="F72" s="101"/>
      <c r="G72" s="101"/>
      <c r="H72" s="137"/>
      <c r="I72" s="6"/>
      <c r="J72" s="100">
        <f t="shared" si="6"/>
        <v>0</v>
      </c>
      <c r="K72" s="100">
        <f t="shared" si="7"/>
        <v>0</v>
      </c>
      <c r="L72" s="88">
        <f>K72*係数!$H$30</f>
        <v>0</v>
      </c>
      <c r="M72" s="25"/>
      <c r="N72" s="6"/>
      <c r="O72" s="6"/>
      <c r="P72" s="137"/>
      <c r="Q72" s="6"/>
      <c r="R72" s="533">
        <f t="shared" si="0"/>
        <v>0</v>
      </c>
      <c r="S72" s="12">
        <f t="shared" si="5"/>
        <v>0</v>
      </c>
      <c r="T72" s="88">
        <f>S72*係数!$H$30</f>
        <v>0</v>
      </c>
      <c r="U72" s="12">
        <f t="shared" si="1"/>
        <v>0</v>
      </c>
      <c r="V72" s="545">
        <f>U72*係数!$C$30*0.0000258</f>
        <v>0</v>
      </c>
      <c r="W72" s="543">
        <f t="shared" si="2"/>
        <v>0</v>
      </c>
    </row>
    <row r="73" spans="2:23" x14ac:dyDescent="0.55000000000000004">
      <c r="B73" s="194" t="s">
        <v>542</v>
      </c>
      <c r="C73" s="25"/>
      <c r="D73" s="128"/>
      <c r="E73" s="6"/>
      <c r="F73" s="101"/>
      <c r="G73" s="101"/>
      <c r="H73" s="137"/>
      <c r="I73" s="6"/>
      <c r="J73" s="100">
        <f t="shared" si="6"/>
        <v>0</v>
      </c>
      <c r="K73" s="100">
        <f t="shared" si="7"/>
        <v>0</v>
      </c>
      <c r="L73" s="88">
        <f>K73*係数!$H$30</f>
        <v>0</v>
      </c>
      <c r="M73" s="25"/>
      <c r="N73" s="6"/>
      <c r="O73" s="6"/>
      <c r="P73" s="137"/>
      <c r="Q73" s="6"/>
      <c r="R73" s="533">
        <f t="shared" si="0"/>
        <v>0</v>
      </c>
      <c r="S73" s="12">
        <f t="shared" si="5"/>
        <v>0</v>
      </c>
      <c r="T73" s="88">
        <f>S73*係数!$H$30</f>
        <v>0</v>
      </c>
      <c r="U73" s="12">
        <f t="shared" si="1"/>
        <v>0</v>
      </c>
      <c r="V73" s="545">
        <f>U73*係数!$C$30*0.0000258</f>
        <v>0</v>
      </c>
      <c r="W73" s="543">
        <f t="shared" si="2"/>
        <v>0</v>
      </c>
    </row>
    <row r="74" spans="2:23" x14ac:dyDescent="0.55000000000000004">
      <c r="B74" s="194" t="s">
        <v>543</v>
      </c>
      <c r="C74" s="25"/>
      <c r="D74" s="128"/>
      <c r="E74" s="6"/>
      <c r="F74" s="101"/>
      <c r="G74" s="101"/>
      <c r="H74" s="137"/>
      <c r="I74" s="6"/>
      <c r="J74" s="100">
        <f t="shared" si="6"/>
        <v>0</v>
      </c>
      <c r="K74" s="100">
        <f t="shared" si="7"/>
        <v>0</v>
      </c>
      <c r="L74" s="88">
        <f>K74*係数!$H$30</f>
        <v>0</v>
      </c>
      <c r="M74" s="25"/>
      <c r="N74" s="6"/>
      <c r="O74" s="6"/>
      <c r="P74" s="137"/>
      <c r="Q74" s="6"/>
      <c r="R74" s="533">
        <f t="shared" si="0"/>
        <v>0</v>
      </c>
      <c r="S74" s="12">
        <f t="shared" si="5"/>
        <v>0</v>
      </c>
      <c r="T74" s="88">
        <f>S74*係数!$H$30</f>
        <v>0</v>
      </c>
      <c r="U74" s="12">
        <f t="shared" si="1"/>
        <v>0</v>
      </c>
      <c r="V74" s="545">
        <f>U74*係数!$C$30*0.0000258</f>
        <v>0</v>
      </c>
      <c r="W74" s="543">
        <f t="shared" si="2"/>
        <v>0</v>
      </c>
    </row>
    <row r="75" spans="2:23" x14ac:dyDescent="0.55000000000000004">
      <c r="B75" s="194" t="s">
        <v>544</v>
      </c>
      <c r="C75" s="25"/>
      <c r="D75" s="128"/>
      <c r="E75" s="6"/>
      <c r="F75" s="101"/>
      <c r="G75" s="101"/>
      <c r="H75" s="137"/>
      <c r="I75" s="6"/>
      <c r="J75" s="100">
        <f t="shared" si="6"/>
        <v>0</v>
      </c>
      <c r="K75" s="100">
        <f t="shared" si="7"/>
        <v>0</v>
      </c>
      <c r="L75" s="88">
        <f>K75*係数!$H$30</f>
        <v>0</v>
      </c>
      <c r="M75" s="25"/>
      <c r="N75" s="6"/>
      <c r="O75" s="6"/>
      <c r="P75" s="137"/>
      <c r="Q75" s="6"/>
      <c r="R75" s="533">
        <f t="shared" si="0"/>
        <v>0</v>
      </c>
      <c r="S75" s="12">
        <f t="shared" si="5"/>
        <v>0</v>
      </c>
      <c r="T75" s="88">
        <f>S75*係数!$H$30</f>
        <v>0</v>
      </c>
      <c r="U75" s="12">
        <f t="shared" si="1"/>
        <v>0</v>
      </c>
      <c r="V75" s="545">
        <f>U75*係数!$C$30*0.0000258</f>
        <v>0</v>
      </c>
      <c r="W75" s="543">
        <f t="shared" si="2"/>
        <v>0</v>
      </c>
    </row>
    <row r="76" spans="2:23" x14ac:dyDescent="0.55000000000000004">
      <c r="B76" s="194" t="s">
        <v>545</v>
      </c>
      <c r="C76" s="25"/>
      <c r="D76" s="128"/>
      <c r="E76" s="6"/>
      <c r="F76" s="101"/>
      <c r="G76" s="101"/>
      <c r="H76" s="137"/>
      <c r="I76" s="6"/>
      <c r="J76" s="100">
        <f t="shared" si="6"/>
        <v>0</v>
      </c>
      <c r="K76" s="100">
        <f t="shared" si="7"/>
        <v>0</v>
      </c>
      <c r="L76" s="88">
        <f>K76*係数!$H$30</f>
        <v>0</v>
      </c>
      <c r="M76" s="25"/>
      <c r="N76" s="6"/>
      <c r="O76" s="6"/>
      <c r="P76" s="137"/>
      <c r="Q76" s="6"/>
      <c r="R76" s="533">
        <f t="shared" si="0"/>
        <v>0</v>
      </c>
      <c r="S76" s="12">
        <f t="shared" si="5"/>
        <v>0</v>
      </c>
      <c r="T76" s="88">
        <f>S76*係数!$H$30</f>
        <v>0</v>
      </c>
      <c r="U76" s="12">
        <f t="shared" si="1"/>
        <v>0</v>
      </c>
      <c r="V76" s="545">
        <f>U76*係数!$C$30*0.0000258</f>
        <v>0</v>
      </c>
      <c r="W76" s="543">
        <f t="shared" si="2"/>
        <v>0</v>
      </c>
    </row>
    <row r="77" spans="2:23" x14ac:dyDescent="0.55000000000000004">
      <c r="B77" s="194" t="s">
        <v>546</v>
      </c>
      <c r="C77" s="25"/>
      <c r="D77" s="128"/>
      <c r="E77" s="6"/>
      <c r="F77" s="101"/>
      <c r="G77" s="101"/>
      <c r="H77" s="137"/>
      <c r="I77" s="6"/>
      <c r="J77" s="100">
        <f t="shared" si="6"/>
        <v>0</v>
      </c>
      <c r="K77" s="100">
        <f t="shared" si="7"/>
        <v>0</v>
      </c>
      <c r="L77" s="88">
        <f>K77*係数!$H$30</f>
        <v>0</v>
      </c>
      <c r="M77" s="25"/>
      <c r="N77" s="6"/>
      <c r="O77" s="6"/>
      <c r="P77" s="137"/>
      <c r="Q77" s="6"/>
      <c r="R77" s="533">
        <f t="shared" si="0"/>
        <v>0</v>
      </c>
      <c r="S77" s="12">
        <f t="shared" si="5"/>
        <v>0</v>
      </c>
      <c r="T77" s="88">
        <f>S77*係数!$H$30</f>
        <v>0</v>
      </c>
      <c r="U77" s="12">
        <f t="shared" si="1"/>
        <v>0</v>
      </c>
      <c r="V77" s="545">
        <f>U77*係数!$C$30*0.0000258</f>
        <v>0</v>
      </c>
      <c r="W77" s="543">
        <f t="shared" si="2"/>
        <v>0</v>
      </c>
    </row>
    <row r="78" spans="2:23" x14ac:dyDescent="0.55000000000000004">
      <c r="B78" s="194" t="s">
        <v>547</v>
      </c>
      <c r="C78" s="25"/>
      <c r="D78" s="128"/>
      <c r="E78" s="6"/>
      <c r="F78" s="101"/>
      <c r="G78" s="101"/>
      <c r="H78" s="137"/>
      <c r="I78" s="6"/>
      <c r="J78" s="100">
        <f t="shared" si="6"/>
        <v>0</v>
      </c>
      <c r="K78" s="100">
        <f t="shared" si="7"/>
        <v>0</v>
      </c>
      <c r="L78" s="88">
        <f>K78*係数!$H$30</f>
        <v>0</v>
      </c>
      <c r="M78" s="25"/>
      <c r="N78" s="6"/>
      <c r="O78" s="6"/>
      <c r="P78" s="137"/>
      <c r="Q78" s="6"/>
      <c r="R78" s="533">
        <f t="shared" si="0"/>
        <v>0</v>
      </c>
      <c r="S78" s="12">
        <f t="shared" si="5"/>
        <v>0</v>
      </c>
      <c r="T78" s="88">
        <f>S78*係数!$H$30</f>
        <v>0</v>
      </c>
      <c r="U78" s="12">
        <f t="shared" si="1"/>
        <v>0</v>
      </c>
      <c r="V78" s="545">
        <f>U78*係数!$C$30*0.0000258</f>
        <v>0</v>
      </c>
      <c r="W78" s="543">
        <f t="shared" si="2"/>
        <v>0</v>
      </c>
    </row>
    <row r="79" spans="2:23" x14ac:dyDescent="0.55000000000000004">
      <c r="B79" s="194" t="s">
        <v>548</v>
      </c>
      <c r="C79" s="25"/>
      <c r="D79" s="128"/>
      <c r="E79" s="6"/>
      <c r="F79" s="101"/>
      <c r="G79" s="101"/>
      <c r="H79" s="137"/>
      <c r="I79" s="6"/>
      <c r="J79" s="100">
        <f t="shared" si="6"/>
        <v>0</v>
      </c>
      <c r="K79" s="100">
        <f t="shared" si="7"/>
        <v>0</v>
      </c>
      <c r="L79" s="88">
        <f>K79*係数!$H$30</f>
        <v>0</v>
      </c>
      <c r="M79" s="25"/>
      <c r="N79" s="6"/>
      <c r="O79" s="6"/>
      <c r="P79" s="137"/>
      <c r="Q79" s="6"/>
      <c r="R79" s="533">
        <f t="shared" si="0"/>
        <v>0</v>
      </c>
      <c r="S79" s="12">
        <f t="shared" si="5"/>
        <v>0</v>
      </c>
      <c r="T79" s="88">
        <f>S79*係数!$H$30</f>
        <v>0</v>
      </c>
      <c r="U79" s="12">
        <f t="shared" si="1"/>
        <v>0</v>
      </c>
      <c r="V79" s="545">
        <f>U79*係数!$C$30*0.0000258</f>
        <v>0</v>
      </c>
      <c r="W79" s="543">
        <f t="shared" si="2"/>
        <v>0</v>
      </c>
    </row>
    <row r="80" spans="2:23" x14ac:dyDescent="0.55000000000000004">
      <c r="B80" s="194" t="s">
        <v>549</v>
      </c>
      <c r="C80" s="25"/>
      <c r="D80" s="128"/>
      <c r="E80" s="6"/>
      <c r="F80" s="101"/>
      <c r="G80" s="101"/>
      <c r="H80" s="137"/>
      <c r="I80" s="6"/>
      <c r="J80" s="100">
        <f t="shared" si="6"/>
        <v>0</v>
      </c>
      <c r="K80" s="100">
        <f t="shared" si="7"/>
        <v>0</v>
      </c>
      <c r="L80" s="88">
        <f>K80*係数!$H$30</f>
        <v>0</v>
      </c>
      <c r="M80" s="25"/>
      <c r="N80" s="6"/>
      <c r="O80" s="6"/>
      <c r="P80" s="137"/>
      <c r="Q80" s="6"/>
      <c r="R80" s="533">
        <f t="shared" si="0"/>
        <v>0</v>
      </c>
      <c r="S80" s="12">
        <f t="shared" si="5"/>
        <v>0</v>
      </c>
      <c r="T80" s="88">
        <f>S80*係数!$H$30</f>
        <v>0</v>
      </c>
      <c r="U80" s="12">
        <f t="shared" si="1"/>
        <v>0</v>
      </c>
      <c r="V80" s="545">
        <f>U80*係数!$C$30*0.0000258</f>
        <v>0</v>
      </c>
      <c r="W80" s="543">
        <f t="shared" si="2"/>
        <v>0</v>
      </c>
    </row>
    <row r="81" spans="2:23" x14ac:dyDescent="0.55000000000000004">
      <c r="B81" s="194" t="s">
        <v>550</v>
      </c>
      <c r="C81" s="25"/>
      <c r="D81" s="128"/>
      <c r="E81" s="6"/>
      <c r="F81" s="101"/>
      <c r="G81" s="101"/>
      <c r="H81" s="137"/>
      <c r="I81" s="6"/>
      <c r="J81" s="100">
        <f t="shared" si="6"/>
        <v>0</v>
      </c>
      <c r="K81" s="100">
        <f t="shared" si="7"/>
        <v>0</v>
      </c>
      <c r="L81" s="88">
        <f>K81*係数!$H$30</f>
        <v>0</v>
      </c>
      <c r="M81" s="25"/>
      <c r="N81" s="6"/>
      <c r="O81" s="6"/>
      <c r="P81" s="137"/>
      <c r="Q81" s="6"/>
      <c r="R81" s="533">
        <f t="shared" si="0"/>
        <v>0</v>
      </c>
      <c r="S81" s="12">
        <f t="shared" si="5"/>
        <v>0</v>
      </c>
      <c r="T81" s="88">
        <f>S81*係数!$H$30</f>
        <v>0</v>
      </c>
      <c r="U81" s="12">
        <f t="shared" si="1"/>
        <v>0</v>
      </c>
      <c r="V81" s="545">
        <f>U81*係数!$C$30*0.0000258</f>
        <v>0</v>
      </c>
      <c r="W81" s="543">
        <f t="shared" si="2"/>
        <v>0</v>
      </c>
    </row>
    <row r="82" spans="2:23" x14ac:dyDescent="0.55000000000000004">
      <c r="B82" s="194" t="s">
        <v>551</v>
      </c>
      <c r="C82" s="25"/>
      <c r="D82" s="128"/>
      <c r="E82" s="6"/>
      <c r="F82" s="101"/>
      <c r="G82" s="101"/>
      <c r="H82" s="137"/>
      <c r="I82" s="6"/>
      <c r="J82" s="100">
        <f t="shared" si="6"/>
        <v>0</v>
      </c>
      <c r="K82" s="100">
        <f t="shared" si="7"/>
        <v>0</v>
      </c>
      <c r="L82" s="88">
        <f>K82*係数!$H$30</f>
        <v>0</v>
      </c>
      <c r="M82" s="25"/>
      <c r="N82" s="6"/>
      <c r="O82" s="6"/>
      <c r="P82" s="137"/>
      <c r="Q82" s="6"/>
      <c r="R82" s="533">
        <f t="shared" ref="R82:R145" si="8">IF(P82="",J82,J82*Q82/100)</f>
        <v>0</v>
      </c>
      <c r="S82" s="12">
        <f t="shared" ref="S82:S145" si="9">N82*O82*R82/1000</f>
        <v>0</v>
      </c>
      <c r="T82" s="88">
        <f>S82*係数!$H$30</f>
        <v>0</v>
      </c>
      <c r="U82" s="12">
        <f t="shared" ref="U82:U145" si="10">K82-S82</f>
        <v>0</v>
      </c>
      <c r="V82" s="545">
        <f>U82*係数!$C$30*0.0000258</f>
        <v>0</v>
      </c>
      <c r="W82" s="543">
        <f t="shared" ref="W82:W145" si="11">L82-T82</f>
        <v>0</v>
      </c>
    </row>
    <row r="83" spans="2:23" x14ac:dyDescent="0.55000000000000004">
      <c r="B83" s="194" t="s">
        <v>552</v>
      </c>
      <c r="C83" s="25"/>
      <c r="D83" s="128"/>
      <c r="E83" s="6"/>
      <c r="F83" s="101"/>
      <c r="G83" s="101"/>
      <c r="H83" s="137"/>
      <c r="I83" s="6"/>
      <c r="J83" s="100">
        <f t="shared" si="6"/>
        <v>0</v>
      </c>
      <c r="K83" s="100">
        <f t="shared" si="7"/>
        <v>0</v>
      </c>
      <c r="L83" s="88">
        <f>K83*係数!$H$30</f>
        <v>0</v>
      </c>
      <c r="M83" s="25"/>
      <c r="N83" s="6"/>
      <c r="O83" s="6"/>
      <c r="P83" s="137"/>
      <c r="Q83" s="6"/>
      <c r="R83" s="533">
        <f t="shared" si="8"/>
        <v>0</v>
      </c>
      <c r="S83" s="12">
        <f t="shared" si="9"/>
        <v>0</v>
      </c>
      <c r="T83" s="88">
        <f>S83*係数!$H$30</f>
        <v>0</v>
      </c>
      <c r="U83" s="12">
        <f t="shared" si="10"/>
        <v>0</v>
      </c>
      <c r="V83" s="545">
        <f>U83*係数!$C$30*0.0000258</f>
        <v>0</v>
      </c>
      <c r="W83" s="543">
        <f t="shared" si="11"/>
        <v>0</v>
      </c>
    </row>
    <row r="84" spans="2:23" x14ac:dyDescent="0.55000000000000004">
      <c r="B84" s="194" t="s">
        <v>553</v>
      </c>
      <c r="C84" s="25"/>
      <c r="D84" s="128"/>
      <c r="E84" s="6"/>
      <c r="F84" s="101"/>
      <c r="G84" s="101"/>
      <c r="H84" s="137"/>
      <c r="I84" s="6"/>
      <c r="J84" s="100">
        <f t="shared" si="6"/>
        <v>0</v>
      </c>
      <c r="K84" s="100">
        <f t="shared" si="7"/>
        <v>0</v>
      </c>
      <c r="L84" s="88">
        <f>K84*係数!$H$30</f>
        <v>0</v>
      </c>
      <c r="M84" s="25"/>
      <c r="N84" s="6"/>
      <c r="O84" s="6"/>
      <c r="P84" s="137"/>
      <c r="Q84" s="6"/>
      <c r="R84" s="533">
        <f t="shared" si="8"/>
        <v>0</v>
      </c>
      <c r="S84" s="12">
        <f t="shared" si="9"/>
        <v>0</v>
      </c>
      <c r="T84" s="88">
        <f>S84*係数!$H$30</f>
        <v>0</v>
      </c>
      <c r="U84" s="12">
        <f t="shared" si="10"/>
        <v>0</v>
      </c>
      <c r="V84" s="545">
        <f>U84*係数!$C$30*0.0000258</f>
        <v>0</v>
      </c>
      <c r="W84" s="543">
        <f t="shared" si="11"/>
        <v>0</v>
      </c>
    </row>
    <row r="85" spans="2:23" x14ac:dyDescent="0.55000000000000004">
      <c r="B85" s="194" t="s">
        <v>554</v>
      </c>
      <c r="C85" s="25"/>
      <c r="D85" s="128"/>
      <c r="E85" s="6"/>
      <c r="F85" s="101"/>
      <c r="G85" s="101"/>
      <c r="H85" s="137"/>
      <c r="I85" s="6"/>
      <c r="J85" s="100">
        <f t="shared" si="6"/>
        <v>0</v>
      </c>
      <c r="K85" s="100">
        <f t="shared" si="7"/>
        <v>0</v>
      </c>
      <c r="L85" s="88">
        <f>K85*係数!$H$30</f>
        <v>0</v>
      </c>
      <c r="M85" s="25"/>
      <c r="N85" s="6"/>
      <c r="O85" s="6"/>
      <c r="P85" s="137"/>
      <c r="Q85" s="6"/>
      <c r="R85" s="533">
        <f t="shared" si="8"/>
        <v>0</v>
      </c>
      <c r="S85" s="12">
        <f t="shared" si="9"/>
        <v>0</v>
      </c>
      <c r="T85" s="88">
        <f>S85*係数!$H$30</f>
        <v>0</v>
      </c>
      <c r="U85" s="12">
        <f t="shared" si="10"/>
        <v>0</v>
      </c>
      <c r="V85" s="545">
        <f>U85*係数!$C$30*0.0000258</f>
        <v>0</v>
      </c>
      <c r="W85" s="543">
        <f t="shared" si="11"/>
        <v>0</v>
      </c>
    </row>
    <row r="86" spans="2:23" x14ac:dyDescent="0.55000000000000004">
      <c r="B86" s="194" t="s">
        <v>555</v>
      </c>
      <c r="C86" s="25"/>
      <c r="D86" s="128"/>
      <c r="E86" s="6"/>
      <c r="F86" s="101"/>
      <c r="G86" s="101"/>
      <c r="H86" s="137"/>
      <c r="I86" s="6"/>
      <c r="J86" s="100">
        <f t="shared" si="6"/>
        <v>0</v>
      </c>
      <c r="K86" s="100">
        <f t="shared" si="7"/>
        <v>0</v>
      </c>
      <c r="L86" s="88">
        <f>K86*係数!$H$30</f>
        <v>0</v>
      </c>
      <c r="M86" s="25"/>
      <c r="N86" s="6"/>
      <c r="O86" s="6"/>
      <c r="P86" s="137"/>
      <c r="Q86" s="6"/>
      <c r="R86" s="533">
        <f t="shared" si="8"/>
        <v>0</v>
      </c>
      <c r="S86" s="12">
        <f t="shared" si="9"/>
        <v>0</v>
      </c>
      <c r="T86" s="88">
        <f>S86*係数!$H$30</f>
        <v>0</v>
      </c>
      <c r="U86" s="12">
        <f t="shared" si="10"/>
        <v>0</v>
      </c>
      <c r="V86" s="545">
        <f>U86*係数!$C$30*0.0000258</f>
        <v>0</v>
      </c>
      <c r="W86" s="543">
        <f t="shared" si="11"/>
        <v>0</v>
      </c>
    </row>
    <row r="87" spans="2:23" x14ac:dyDescent="0.55000000000000004">
      <c r="B87" s="194" t="s">
        <v>556</v>
      </c>
      <c r="C87" s="25"/>
      <c r="D87" s="128"/>
      <c r="E87" s="6"/>
      <c r="F87" s="101"/>
      <c r="G87" s="101"/>
      <c r="H87" s="137"/>
      <c r="I87" s="6"/>
      <c r="J87" s="100">
        <f t="shared" si="6"/>
        <v>0</v>
      </c>
      <c r="K87" s="100">
        <f t="shared" si="7"/>
        <v>0</v>
      </c>
      <c r="L87" s="88">
        <f>K87*係数!$H$30</f>
        <v>0</v>
      </c>
      <c r="M87" s="25"/>
      <c r="N87" s="6"/>
      <c r="O87" s="6"/>
      <c r="P87" s="137"/>
      <c r="Q87" s="6"/>
      <c r="R87" s="533">
        <f t="shared" si="8"/>
        <v>0</v>
      </c>
      <c r="S87" s="12">
        <f t="shared" si="9"/>
        <v>0</v>
      </c>
      <c r="T87" s="88">
        <f>S87*係数!$H$30</f>
        <v>0</v>
      </c>
      <c r="U87" s="12">
        <f t="shared" si="10"/>
        <v>0</v>
      </c>
      <c r="V87" s="545">
        <f>U87*係数!$C$30*0.0000258</f>
        <v>0</v>
      </c>
      <c r="W87" s="543">
        <f t="shared" si="11"/>
        <v>0</v>
      </c>
    </row>
    <row r="88" spans="2:23" x14ac:dyDescent="0.55000000000000004">
      <c r="B88" s="194" t="s">
        <v>557</v>
      </c>
      <c r="C88" s="25"/>
      <c r="D88" s="128"/>
      <c r="E88" s="6"/>
      <c r="F88" s="101"/>
      <c r="G88" s="101"/>
      <c r="H88" s="137"/>
      <c r="I88" s="6"/>
      <c r="J88" s="100">
        <f t="shared" si="6"/>
        <v>0</v>
      </c>
      <c r="K88" s="100">
        <f t="shared" si="7"/>
        <v>0</v>
      </c>
      <c r="L88" s="88">
        <f>K88*係数!$H$30</f>
        <v>0</v>
      </c>
      <c r="M88" s="25"/>
      <c r="N88" s="6"/>
      <c r="O88" s="6"/>
      <c r="P88" s="137"/>
      <c r="Q88" s="6"/>
      <c r="R88" s="533">
        <f t="shared" si="8"/>
        <v>0</v>
      </c>
      <c r="S88" s="12">
        <f t="shared" si="9"/>
        <v>0</v>
      </c>
      <c r="T88" s="88">
        <f>S88*係数!$H$30</f>
        <v>0</v>
      </c>
      <c r="U88" s="12">
        <f t="shared" si="10"/>
        <v>0</v>
      </c>
      <c r="V88" s="545">
        <f>U88*係数!$C$30*0.0000258</f>
        <v>0</v>
      </c>
      <c r="W88" s="543">
        <f t="shared" si="11"/>
        <v>0</v>
      </c>
    </row>
    <row r="89" spans="2:23" x14ac:dyDescent="0.55000000000000004">
      <c r="B89" s="194" t="s">
        <v>558</v>
      </c>
      <c r="C89" s="25"/>
      <c r="D89" s="128"/>
      <c r="E89" s="6"/>
      <c r="F89" s="101"/>
      <c r="G89" s="101"/>
      <c r="H89" s="137"/>
      <c r="I89" s="6"/>
      <c r="J89" s="100">
        <f t="shared" si="6"/>
        <v>0</v>
      </c>
      <c r="K89" s="100">
        <f t="shared" si="7"/>
        <v>0</v>
      </c>
      <c r="L89" s="88">
        <f>K89*係数!$H$30</f>
        <v>0</v>
      </c>
      <c r="M89" s="25"/>
      <c r="N89" s="6"/>
      <c r="O89" s="6"/>
      <c r="P89" s="137"/>
      <c r="Q89" s="6"/>
      <c r="R89" s="533">
        <f t="shared" si="8"/>
        <v>0</v>
      </c>
      <c r="S89" s="12">
        <f t="shared" si="9"/>
        <v>0</v>
      </c>
      <c r="T89" s="88">
        <f>S89*係数!$H$30</f>
        <v>0</v>
      </c>
      <c r="U89" s="12">
        <f t="shared" si="10"/>
        <v>0</v>
      </c>
      <c r="V89" s="545">
        <f>U89*係数!$C$30*0.0000258</f>
        <v>0</v>
      </c>
      <c r="W89" s="543">
        <f t="shared" si="11"/>
        <v>0</v>
      </c>
    </row>
    <row r="90" spans="2:23" x14ac:dyDescent="0.55000000000000004">
      <c r="B90" s="194" t="s">
        <v>559</v>
      </c>
      <c r="C90" s="25"/>
      <c r="D90" s="128"/>
      <c r="E90" s="6"/>
      <c r="F90" s="101"/>
      <c r="G90" s="101"/>
      <c r="H90" s="137"/>
      <c r="I90" s="6"/>
      <c r="J90" s="100">
        <f t="shared" si="6"/>
        <v>0</v>
      </c>
      <c r="K90" s="100">
        <f t="shared" si="7"/>
        <v>0</v>
      </c>
      <c r="L90" s="88">
        <f>K90*係数!$H$30</f>
        <v>0</v>
      </c>
      <c r="M90" s="25"/>
      <c r="N90" s="6"/>
      <c r="O90" s="6"/>
      <c r="P90" s="137"/>
      <c r="Q90" s="6"/>
      <c r="R90" s="533">
        <f t="shared" si="8"/>
        <v>0</v>
      </c>
      <c r="S90" s="12">
        <f t="shared" si="9"/>
        <v>0</v>
      </c>
      <c r="T90" s="88">
        <f>S90*係数!$H$30</f>
        <v>0</v>
      </c>
      <c r="U90" s="12">
        <f t="shared" si="10"/>
        <v>0</v>
      </c>
      <c r="V90" s="545">
        <f>U90*係数!$C$30*0.0000258</f>
        <v>0</v>
      </c>
      <c r="W90" s="543">
        <f t="shared" si="11"/>
        <v>0</v>
      </c>
    </row>
    <row r="91" spans="2:23" x14ac:dyDescent="0.55000000000000004">
      <c r="B91" s="194" t="s">
        <v>560</v>
      </c>
      <c r="C91" s="25"/>
      <c r="D91" s="128"/>
      <c r="E91" s="6"/>
      <c r="F91" s="101"/>
      <c r="G91" s="101"/>
      <c r="H91" s="137"/>
      <c r="I91" s="6"/>
      <c r="J91" s="100">
        <f t="shared" si="6"/>
        <v>0</v>
      </c>
      <c r="K91" s="100">
        <f t="shared" si="7"/>
        <v>0</v>
      </c>
      <c r="L91" s="88">
        <f>K91*係数!$H$30</f>
        <v>0</v>
      </c>
      <c r="M91" s="25"/>
      <c r="N91" s="6"/>
      <c r="O91" s="6"/>
      <c r="P91" s="137"/>
      <c r="Q91" s="6"/>
      <c r="R91" s="533">
        <f t="shared" si="8"/>
        <v>0</v>
      </c>
      <c r="S91" s="12">
        <f t="shared" si="9"/>
        <v>0</v>
      </c>
      <c r="T91" s="88">
        <f>S91*係数!$H$30</f>
        <v>0</v>
      </c>
      <c r="U91" s="12">
        <f t="shared" si="10"/>
        <v>0</v>
      </c>
      <c r="V91" s="545">
        <f>U91*係数!$C$30*0.0000258</f>
        <v>0</v>
      </c>
      <c r="W91" s="543">
        <f t="shared" si="11"/>
        <v>0</v>
      </c>
    </row>
    <row r="92" spans="2:23" x14ac:dyDescent="0.55000000000000004">
      <c r="B92" s="194" t="s">
        <v>561</v>
      </c>
      <c r="C92" s="25"/>
      <c r="D92" s="128"/>
      <c r="E92" s="6"/>
      <c r="F92" s="101"/>
      <c r="G92" s="101"/>
      <c r="H92" s="137"/>
      <c r="I92" s="6"/>
      <c r="J92" s="100">
        <f t="shared" si="6"/>
        <v>0</v>
      </c>
      <c r="K92" s="100">
        <f t="shared" si="7"/>
        <v>0</v>
      </c>
      <c r="L92" s="88">
        <f>K92*係数!$H$30</f>
        <v>0</v>
      </c>
      <c r="M92" s="25"/>
      <c r="N92" s="6"/>
      <c r="O92" s="6"/>
      <c r="P92" s="137"/>
      <c r="Q92" s="6"/>
      <c r="R92" s="533">
        <f t="shared" si="8"/>
        <v>0</v>
      </c>
      <c r="S92" s="12">
        <f t="shared" si="9"/>
        <v>0</v>
      </c>
      <c r="T92" s="88">
        <f>S92*係数!$H$30</f>
        <v>0</v>
      </c>
      <c r="U92" s="12">
        <f t="shared" si="10"/>
        <v>0</v>
      </c>
      <c r="V92" s="545">
        <f>U92*係数!$C$30*0.0000258</f>
        <v>0</v>
      </c>
      <c r="W92" s="543">
        <f t="shared" si="11"/>
        <v>0</v>
      </c>
    </row>
    <row r="93" spans="2:23" x14ac:dyDescent="0.55000000000000004">
      <c r="B93" s="194" t="s">
        <v>562</v>
      </c>
      <c r="C93" s="25"/>
      <c r="D93" s="128"/>
      <c r="E93" s="6"/>
      <c r="F93" s="101"/>
      <c r="G93" s="101"/>
      <c r="H93" s="137"/>
      <c r="I93" s="6"/>
      <c r="J93" s="100">
        <f t="shared" si="6"/>
        <v>0</v>
      </c>
      <c r="K93" s="100">
        <f t="shared" si="7"/>
        <v>0</v>
      </c>
      <c r="L93" s="88">
        <f>K93*係数!$H$30</f>
        <v>0</v>
      </c>
      <c r="M93" s="25"/>
      <c r="N93" s="6"/>
      <c r="O93" s="6"/>
      <c r="P93" s="137"/>
      <c r="Q93" s="6"/>
      <c r="R93" s="533">
        <f t="shared" si="8"/>
        <v>0</v>
      </c>
      <c r="S93" s="12">
        <f t="shared" si="9"/>
        <v>0</v>
      </c>
      <c r="T93" s="88">
        <f>S93*係数!$H$30</f>
        <v>0</v>
      </c>
      <c r="U93" s="12">
        <f t="shared" si="10"/>
        <v>0</v>
      </c>
      <c r="V93" s="545">
        <f>U93*係数!$C$30*0.0000258</f>
        <v>0</v>
      </c>
      <c r="W93" s="543">
        <f t="shared" si="11"/>
        <v>0</v>
      </c>
    </row>
    <row r="94" spans="2:23" x14ac:dyDescent="0.55000000000000004">
      <c r="B94" s="194" t="s">
        <v>563</v>
      </c>
      <c r="C94" s="25"/>
      <c r="D94" s="128"/>
      <c r="E94" s="6"/>
      <c r="F94" s="101"/>
      <c r="G94" s="101"/>
      <c r="H94" s="137"/>
      <c r="I94" s="6"/>
      <c r="J94" s="100">
        <f t="shared" si="6"/>
        <v>0</v>
      </c>
      <c r="K94" s="100">
        <f t="shared" si="7"/>
        <v>0</v>
      </c>
      <c r="L94" s="88">
        <f>K94*係数!$H$30</f>
        <v>0</v>
      </c>
      <c r="M94" s="25"/>
      <c r="N94" s="6"/>
      <c r="O94" s="6"/>
      <c r="P94" s="137"/>
      <c r="Q94" s="6"/>
      <c r="R94" s="533">
        <f t="shared" si="8"/>
        <v>0</v>
      </c>
      <c r="S94" s="12">
        <f t="shared" si="9"/>
        <v>0</v>
      </c>
      <c r="T94" s="88">
        <f>S94*係数!$H$30</f>
        <v>0</v>
      </c>
      <c r="U94" s="12">
        <f t="shared" si="10"/>
        <v>0</v>
      </c>
      <c r="V94" s="545">
        <f>U94*係数!$C$30*0.0000258</f>
        <v>0</v>
      </c>
      <c r="W94" s="543">
        <f t="shared" si="11"/>
        <v>0</v>
      </c>
    </row>
    <row r="95" spans="2:23" x14ac:dyDescent="0.55000000000000004">
      <c r="B95" s="194" t="s">
        <v>564</v>
      </c>
      <c r="C95" s="25"/>
      <c r="D95" s="128"/>
      <c r="E95" s="6"/>
      <c r="F95" s="101"/>
      <c r="G95" s="101"/>
      <c r="H95" s="137"/>
      <c r="I95" s="6"/>
      <c r="J95" s="100">
        <f t="shared" si="6"/>
        <v>0</v>
      </c>
      <c r="K95" s="100">
        <f t="shared" si="7"/>
        <v>0</v>
      </c>
      <c r="L95" s="88">
        <f>K95*係数!$H$30</f>
        <v>0</v>
      </c>
      <c r="M95" s="25"/>
      <c r="N95" s="6"/>
      <c r="O95" s="6"/>
      <c r="P95" s="137"/>
      <c r="Q95" s="6"/>
      <c r="R95" s="533">
        <f t="shared" si="8"/>
        <v>0</v>
      </c>
      <c r="S95" s="12">
        <f t="shared" si="9"/>
        <v>0</v>
      </c>
      <c r="T95" s="88">
        <f>S95*係数!$H$30</f>
        <v>0</v>
      </c>
      <c r="U95" s="12">
        <f t="shared" si="10"/>
        <v>0</v>
      </c>
      <c r="V95" s="545">
        <f>U95*係数!$C$30*0.0000258</f>
        <v>0</v>
      </c>
      <c r="W95" s="543">
        <f t="shared" si="11"/>
        <v>0</v>
      </c>
    </row>
    <row r="96" spans="2:23" x14ac:dyDescent="0.55000000000000004">
      <c r="B96" s="194" t="s">
        <v>565</v>
      </c>
      <c r="C96" s="25"/>
      <c r="D96" s="128"/>
      <c r="E96" s="6"/>
      <c r="F96" s="101"/>
      <c r="G96" s="101"/>
      <c r="H96" s="137"/>
      <c r="I96" s="6"/>
      <c r="J96" s="100">
        <f t="shared" si="6"/>
        <v>0</v>
      </c>
      <c r="K96" s="100">
        <f t="shared" si="7"/>
        <v>0</v>
      </c>
      <c r="L96" s="88">
        <f>K96*係数!$H$30</f>
        <v>0</v>
      </c>
      <c r="M96" s="25"/>
      <c r="N96" s="6"/>
      <c r="O96" s="6"/>
      <c r="P96" s="137"/>
      <c r="Q96" s="6"/>
      <c r="R96" s="533">
        <f t="shared" si="8"/>
        <v>0</v>
      </c>
      <c r="S96" s="12">
        <f t="shared" si="9"/>
        <v>0</v>
      </c>
      <c r="T96" s="88">
        <f>S96*係数!$H$30</f>
        <v>0</v>
      </c>
      <c r="U96" s="12">
        <f t="shared" si="10"/>
        <v>0</v>
      </c>
      <c r="V96" s="545">
        <f>U96*係数!$C$30*0.0000258</f>
        <v>0</v>
      </c>
      <c r="W96" s="543">
        <f t="shared" si="11"/>
        <v>0</v>
      </c>
    </row>
    <row r="97" spans="2:23" x14ac:dyDescent="0.55000000000000004">
      <c r="B97" s="194" t="s">
        <v>566</v>
      </c>
      <c r="C97" s="25"/>
      <c r="D97" s="128"/>
      <c r="E97" s="6"/>
      <c r="F97" s="101"/>
      <c r="G97" s="101"/>
      <c r="H97" s="137"/>
      <c r="I97" s="6"/>
      <c r="J97" s="100">
        <f t="shared" si="6"/>
        <v>0</v>
      </c>
      <c r="K97" s="100">
        <f t="shared" si="7"/>
        <v>0</v>
      </c>
      <c r="L97" s="88">
        <f>K97*係数!$H$30</f>
        <v>0</v>
      </c>
      <c r="M97" s="25"/>
      <c r="N97" s="6"/>
      <c r="O97" s="6"/>
      <c r="P97" s="137"/>
      <c r="Q97" s="6"/>
      <c r="R97" s="533">
        <f t="shared" si="8"/>
        <v>0</v>
      </c>
      <c r="S97" s="12">
        <f t="shared" si="9"/>
        <v>0</v>
      </c>
      <c r="T97" s="88">
        <f>S97*係数!$H$30</f>
        <v>0</v>
      </c>
      <c r="U97" s="12">
        <f t="shared" si="10"/>
        <v>0</v>
      </c>
      <c r="V97" s="545">
        <f>U97*係数!$C$30*0.0000258</f>
        <v>0</v>
      </c>
      <c r="W97" s="543">
        <f t="shared" si="11"/>
        <v>0</v>
      </c>
    </row>
    <row r="98" spans="2:23" x14ac:dyDescent="0.55000000000000004">
      <c r="B98" s="194" t="s">
        <v>567</v>
      </c>
      <c r="C98" s="25"/>
      <c r="D98" s="128"/>
      <c r="E98" s="6"/>
      <c r="F98" s="101"/>
      <c r="G98" s="101"/>
      <c r="H98" s="137"/>
      <c r="I98" s="6"/>
      <c r="J98" s="100">
        <f t="shared" si="6"/>
        <v>0</v>
      </c>
      <c r="K98" s="100">
        <f t="shared" si="7"/>
        <v>0</v>
      </c>
      <c r="L98" s="88">
        <f>K98*係数!$H$30</f>
        <v>0</v>
      </c>
      <c r="M98" s="25"/>
      <c r="N98" s="6"/>
      <c r="O98" s="6"/>
      <c r="P98" s="137"/>
      <c r="Q98" s="6"/>
      <c r="R98" s="533">
        <f t="shared" si="8"/>
        <v>0</v>
      </c>
      <c r="S98" s="12">
        <f t="shared" si="9"/>
        <v>0</v>
      </c>
      <c r="T98" s="88">
        <f>S98*係数!$H$30</f>
        <v>0</v>
      </c>
      <c r="U98" s="12">
        <f t="shared" si="10"/>
        <v>0</v>
      </c>
      <c r="V98" s="545">
        <f>U98*係数!$C$30*0.0000258</f>
        <v>0</v>
      </c>
      <c r="W98" s="543">
        <f t="shared" si="11"/>
        <v>0</v>
      </c>
    </row>
    <row r="99" spans="2:23" x14ac:dyDescent="0.55000000000000004">
      <c r="B99" s="194" t="s">
        <v>568</v>
      </c>
      <c r="C99" s="25"/>
      <c r="D99" s="128"/>
      <c r="E99" s="6"/>
      <c r="F99" s="101"/>
      <c r="G99" s="101"/>
      <c r="H99" s="137"/>
      <c r="I99" s="6"/>
      <c r="J99" s="100">
        <f t="shared" si="6"/>
        <v>0</v>
      </c>
      <c r="K99" s="100">
        <f t="shared" si="7"/>
        <v>0</v>
      </c>
      <c r="L99" s="88">
        <f>K99*係数!$H$30</f>
        <v>0</v>
      </c>
      <c r="M99" s="25"/>
      <c r="N99" s="6"/>
      <c r="O99" s="6"/>
      <c r="P99" s="137"/>
      <c r="Q99" s="6"/>
      <c r="R99" s="533">
        <f t="shared" si="8"/>
        <v>0</v>
      </c>
      <c r="S99" s="12">
        <f t="shared" si="9"/>
        <v>0</v>
      </c>
      <c r="T99" s="88">
        <f>S99*係数!$H$30</f>
        <v>0</v>
      </c>
      <c r="U99" s="12">
        <f t="shared" si="10"/>
        <v>0</v>
      </c>
      <c r="V99" s="545">
        <f>U99*係数!$C$30*0.0000258</f>
        <v>0</v>
      </c>
      <c r="W99" s="543">
        <f t="shared" si="11"/>
        <v>0</v>
      </c>
    </row>
    <row r="100" spans="2:23" x14ac:dyDescent="0.55000000000000004">
      <c r="B100" s="194" t="s">
        <v>569</v>
      </c>
      <c r="C100" s="25"/>
      <c r="D100" s="128"/>
      <c r="E100" s="6"/>
      <c r="F100" s="101"/>
      <c r="G100" s="101"/>
      <c r="H100" s="137"/>
      <c r="I100" s="6"/>
      <c r="J100" s="100">
        <f t="shared" si="6"/>
        <v>0</v>
      </c>
      <c r="K100" s="100">
        <f t="shared" si="7"/>
        <v>0</v>
      </c>
      <c r="L100" s="88">
        <f>K100*係数!$H$30</f>
        <v>0</v>
      </c>
      <c r="M100" s="25"/>
      <c r="N100" s="6"/>
      <c r="O100" s="6"/>
      <c r="P100" s="137"/>
      <c r="Q100" s="6"/>
      <c r="R100" s="533">
        <f t="shared" si="8"/>
        <v>0</v>
      </c>
      <c r="S100" s="12">
        <f t="shared" si="9"/>
        <v>0</v>
      </c>
      <c r="T100" s="88">
        <f>S100*係数!$H$30</f>
        <v>0</v>
      </c>
      <c r="U100" s="12">
        <f t="shared" si="10"/>
        <v>0</v>
      </c>
      <c r="V100" s="545">
        <f>U100*係数!$C$30*0.0000258</f>
        <v>0</v>
      </c>
      <c r="W100" s="543">
        <f t="shared" si="11"/>
        <v>0</v>
      </c>
    </row>
    <row r="101" spans="2:23" x14ac:dyDescent="0.55000000000000004">
      <c r="B101" s="194" t="s">
        <v>570</v>
      </c>
      <c r="C101" s="25"/>
      <c r="D101" s="128"/>
      <c r="E101" s="6"/>
      <c r="F101" s="101"/>
      <c r="G101" s="101"/>
      <c r="H101" s="137"/>
      <c r="I101" s="6"/>
      <c r="J101" s="100">
        <f t="shared" si="6"/>
        <v>0</v>
      </c>
      <c r="K101" s="100">
        <f t="shared" si="7"/>
        <v>0</v>
      </c>
      <c r="L101" s="88">
        <f>K101*係数!$H$30</f>
        <v>0</v>
      </c>
      <c r="M101" s="25"/>
      <c r="N101" s="6"/>
      <c r="O101" s="6"/>
      <c r="P101" s="137"/>
      <c r="Q101" s="6"/>
      <c r="R101" s="533">
        <f t="shared" si="8"/>
        <v>0</v>
      </c>
      <c r="S101" s="12">
        <f t="shared" si="9"/>
        <v>0</v>
      </c>
      <c r="T101" s="88">
        <f>S101*係数!$H$30</f>
        <v>0</v>
      </c>
      <c r="U101" s="12">
        <f t="shared" si="10"/>
        <v>0</v>
      </c>
      <c r="V101" s="545">
        <f>U101*係数!$C$30*0.0000258</f>
        <v>0</v>
      </c>
      <c r="W101" s="543">
        <f t="shared" si="11"/>
        <v>0</v>
      </c>
    </row>
    <row r="102" spans="2:23" x14ac:dyDescent="0.55000000000000004">
      <c r="B102" s="194" t="s">
        <v>571</v>
      </c>
      <c r="C102" s="25"/>
      <c r="D102" s="128"/>
      <c r="E102" s="6"/>
      <c r="F102" s="101"/>
      <c r="G102" s="101"/>
      <c r="H102" s="137"/>
      <c r="I102" s="6"/>
      <c r="J102" s="100">
        <f t="shared" si="6"/>
        <v>0</v>
      </c>
      <c r="K102" s="100">
        <f t="shared" si="7"/>
        <v>0</v>
      </c>
      <c r="L102" s="88">
        <f>K102*係数!$H$30</f>
        <v>0</v>
      </c>
      <c r="M102" s="25"/>
      <c r="N102" s="6"/>
      <c r="O102" s="6"/>
      <c r="P102" s="137"/>
      <c r="Q102" s="6"/>
      <c r="R102" s="533">
        <f t="shared" si="8"/>
        <v>0</v>
      </c>
      <c r="S102" s="12">
        <f t="shared" si="9"/>
        <v>0</v>
      </c>
      <c r="T102" s="88">
        <f>S102*係数!$H$30</f>
        <v>0</v>
      </c>
      <c r="U102" s="12">
        <f t="shared" si="10"/>
        <v>0</v>
      </c>
      <c r="V102" s="545">
        <f>U102*係数!$C$30*0.0000258</f>
        <v>0</v>
      </c>
      <c r="W102" s="543">
        <f t="shared" si="11"/>
        <v>0</v>
      </c>
    </row>
    <row r="103" spans="2:23" x14ac:dyDescent="0.55000000000000004">
      <c r="B103" s="194" t="s">
        <v>572</v>
      </c>
      <c r="C103" s="25"/>
      <c r="D103" s="128"/>
      <c r="E103" s="6"/>
      <c r="F103" s="101"/>
      <c r="G103" s="101"/>
      <c r="H103" s="137"/>
      <c r="I103" s="6"/>
      <c r="J103" s="100">
        <f t="shared" si="6"/>
        <v>0</v>
      </c>
      <c r="K103" s="100">
        <f t="shared" si="7"/>
        <v>0</v>
      </c>
      <c r="L103" s="88">
        <f>K103*係数!$H$30</f>
        <v>0</v>
      </c>
      <c r="M103" s="25"/>
      <c r="N103" s="6"/>
      <c r="O103" s="6"/>
      <c r="P103" s="137"/>
      <c r="Q103" s="6"/>
      <c r="R103" s="533">
        <f t="shared" si="8"/>
        <v>0</v>
      </c>
      <c r="S103" s="12">
        <f t="shared" si="9"/>
        <v>0</v>
      </c>
      <c r="T103" s="88">
        <f>S103*係数!$H$30</f>
        <v>0</v>
      </c>
      <c r="U103" s="12">
        <f t="shared" si="10"/>
        <v>0</v>
      </c>
      <c r="V103" s="545">
        <f>U103*係数!$C$30*0.0000258</f>
        <v>0</v>
      </c>
      <c r="W103" s="543">
        <f t="shared" si="11"/>
        <v>0</v>
      </c>
    </row>
    <row r="104" spans="2:23" x14ac:dyDescent="0.55000000000000004">
      <c r="B104" s="194" t="s">
        <v>573</v>
      </c>
      <c r="C104" s="25"/>
      <c r="D104" s="128"/>
      <c r="E104" s="6"/>
      <c r="F104" s="101"/>
      <c r="G104" s="101"/>
      <c r="H104" s="137"/>
      <c r="I104" s="6"/>
      <c r="J104" s="100">
        <f t="shared" si="6"/>
        <v>0</v>
      </c>
      <c r="K104" s="100">
        <f t="shared" si="7"/>
        <v>0</v>
      </c>
      <c r="L104" s="88">
        <f>K104*係数!$H$30</f>
        <v>0</v>
      </c>
      <c r="M104" s="25"/>
      <c r="N104" s="6"/>
      <c r="O104" s="6"/>
      <c r="P104" s="137"/>
      <c r="Q104" s="6"/>
      <c r="R104" s="533">
        <f t="shared" si="8"/>
        <v>0</v>
      </c>
      <c r="S104" s="12">
        <f t="shared" si="9"/>
        <v>0</v>
      </c>
      <c r="T104" s="88">
        <f>S104*係数!$H$30</f>
        <v>0</v>
      </c>
      <c r="U104" s="12">
        <f t="shared" si="10"/>
        <v>0</v>
      </c>
      <c r="V104" s="545">
        <f>U104*係数!$C$30*0.0000258</f>
        <v>0</v>
      </c>
      <c r="W104" s="543">
        <f t="shared" si="11"/>
        <v>0</v>
      </c>
    </row>
    <row r="105" spans="2:23" x14ac:dyDescent="0.55000000000000004">
      <c r="B105" s="194" t="s">
        <v>574</v>
      </c>
      <c r="C105" s="25"/>
      <c r="D105" s="128"/>
      <c r="E105" s="6"/>
      <c r="F105" s="101"/>
      <c r="G105" s="101"/>
      <c r="H105" s="137"/>
      <c r="I105" s="6"/>
      <c r="J105" s="100">
        <f t="shared" si="6"/>
        <v>0</v>
      </c>
      <c r="K105" s="100">
        <f t="shared" si="7"/>
        <v>0</v>
      </c>
      <c r="L105" s="88">
        <f>K105*係数!$H$30</f>
        <v>0</v>
      </c>
      <c r="M105" s="25"/>
      <c r="N105" s="6"/>
      <c r="O105" s="6"/>
      <c r="P105" s="137"/>
      <c r="Q105" s="6"/>
      <c r="R105" s="533">
        <f t="shared" si="8"/>
        <v>0</v>
      </c>
      <c r="S105" s="12">
        <f t="shared" si="9"/>
        <v>0</v>
      </c>
      <c r="T105" s="88">
        <f>S105*係数!$H$30</f>
        <v>0</v>
      </c>
      <c r="U105" s="12">
        <f t="shared" si="10"/>
        <v>0</v>
      </c>
      <c r="V105" s="545">
        <f>U105*係数!$C$30*0.0000258</f>
        <v>0</v>
      </c>
      <c r="W105" s="543">
        <f t="shared" si="11"/>
        <v>0</v>
      </c>
    </row>
    <row r="106" spans="2:23" x14ac:dyDescent="0.55000000000000004">
      <c r="B106" s="194" t="s">
        <v>575</v>
      </c>
      <c r="C106" s="25"/>
      <c r="D106" s="128"/>
      <c r="E106" s="6"/>
      <c r="F106" s="101"/>
      <c r="G106" s="101"/>
      <c r="H106" s="137"/>
      <c r="I106" s="6"/>
      <c r="J106" s="100">
        <f t="shared" si="6"/>
        <v>0</v>
      </c>
      <c r="K106" s="100">
        <f t="shared" si="7"/>
        <v>0</v>
      </c>
      <c r="L106" s="88">
        <f>K106*係数!$H$30</f>
        <v>0</v>
      </c>
      <c r="M106" s="25"/>
      <c r="N106" s="6"/>
      <c r="O106" s="6"/>
      <c r="P106" s="137"/>
      <c r="Q106" s="6"/>
      <c r="R106" s="533">
        <f t="shared" si="8"/>
        <v>0</v>
      </c>
      <c r="S106" s="12">
        <f t="shared" si="9"/>
        <v>0</v>
      </c>
      <c r="T106" s="88">
        <f>S106*係数!$H$30</f>
        <v>0</v>
      </c>
      <c r="U106" s="12">
        <f t="shared" si="10"/>
        <v>0</v>
      </c>
      <c r="V106" s="545">
        <f>U106*係数!$C$30*0.0000258</f>
        <v>0</v>
      </c>
      <c r="W106" s="543">
        <f t="shared" si="11"/>
        <v>0</v>
      </c>
    </row>
    <row r="107" spans="2:23" x14ac:dyDescent="0.55000000000000004">
      <c r="B107" s="194" t="s">
        <v>576</v>
      </c>
      <c r="C107" s="25"/>
      <c r="D107" s="128"/>
      <c r="E107" s="6"/>
      <c r="F107" s="101"/>
      <c r="G107" s="101"/>
      <c r="H107" s="137"/>
      <c r="I107" s="6"/>
      <c r="J107" s="100">
        <f t="shared" si="6"/>
        <v>0</v>
      </c>
      <c r="K107" s="100">
        <f t="shared" si="7"/>
        <v>0</v>
      </c>
      <c r="L107" s="88">
        <f>K107*係数!$H$30</f>
        <v>0</v>
      </c>
      <c r="M107" s="25"/>
      <c r="N107" s="6"/>
      <c r="O107" s="6"/>
      <c r="P107" s="137"/>
      <c r="Q107" s="6"/>
      <c r="R107" s="533">
        <f t="shared" si="8"/>
        <v>0</v>
      </c>
      <c r="S107" s="12">
        <f t="shared" si="9"/>
        <v>0</v>
      </c>
      <c r="T107" s="88">
        <f>S107*係数!$H$30</f>
        <v>0</v>
      </c>
      <c r="U107" s="12">
        <f t="shared" si="10"/>
        <v>0</v>
      </c>
      <c r="V107" s="545">
        <f>U107*係数!$C$30*0.0000258</f>
        <v>0</v>
      </c>
      <c r="W107" s="543">
        <f t="shared" si="11"/>
        <v>0</v>
      </c>
    </row>
    <row r="108" spans="2:23" x14ac:dyDescent="0.55000000000000004">
      <c r="B108" s="194" t="s">
        <v>577</v>
      </c>
      <c r="C108" s="25"/>
      <c r="D108" s="128"/>
      <c r="E108" s="6"/>
      <c r="F108" s="101"/>
      <c r="G108" s="101"/>
      <c r="H108" s="137"/>
      <c r="I108" s="6"/>
      <c r="J108" s="100">
        <f t="shared" si="6"/>
        <v>0</v>
      </c>
      <c r="K108" s="100">
        <f t="shared" si="7"/>
        <v>0</v>
      </c>
      <c r="L108" s="88">
        <f>K108*係数!$H$30</f>
        <v>0</v>
      </c>
      <c r="M108" s="25"/>
      <c r="N108" s="6"/>
      <c r="O108" s="6"/>
      <c r="P108" s="137"/>
      <c r="Q108" s="6"/>
      <c r="R108" s="533">
        <f t="shared" si="8"/>
        <v>0</v>
      </c>
      <c r="S108" s="12">
        <f t="shared" si="9"/>
        <v>0</v>
      </c>
      <c r="T108" s="88">
        <f>S108*係数!$H$30</f>
        <v>0</v>
      </c>
      <c r="U108" s="12">
        <f t="shared" si="10"/>
        <v>0</v>
      </c>
      <c r="V108" s="545">
        <f>U108*係数!$C$30*0.0000258</f>
        <v>0</v>
      </c>
      <c r="W108" s="543">
        <f t="shared" si="11"/>
        <v>0</v>
      </c>
    </row>
    <row r="109" spans="2:23" x14ac:dyDescent="0.55000000000000004">
      <c r="B109" s="194" t="s">
        <v>578</v>
      </c>
      <c r="C109" s="25"/>
      <c r="D109" s="128"/>
      <c r="E109" s="6"/>
      <c r="F109" s="101"/>
      <c r="G109" s="101"/>
      <c r="H109" s="137"/>
      <c r="I109" s="6"/>
      <c r="J109" s="100">
        <f t="shared" si="6"/>
        <v>0</v>
      </c>
      <c r="K109" s="100">
        <f t="shared" si="7"/>
        <v>0</v>
      </c>
      <c r="L109" s="88">
        <f>K109*係数!$H$30</f>
        <v>0</v>
      </c>
      <c r="M109" s="25"/>
      <c r="N109" s="6"/>
      <c r="O109" s="6"/>
      <c r="P109" s="137"/>
      <c r="Q109" s="6"/>
      <c r="R109" s="533">
        <f t="shared" si="8"/>
        <v>0</v>
      </c>
      <c r="S109" s="12">
        <f t="shared" si="9"/>
        <v>0</v>
      </c>
      <c r="T109" s="88">
        <f>S109*係数!$H$30</f>
        <v>0</v>
      </c>
      <c r="U109" s="12">
        <f t="shared" si="10"/>
        <v>0</v>
      </c>
      <c r="V109" s="545">
        <f>U109*係数!$C$30*0.0000258</f>
        <v>0</v>
      </c>
      <c r="W109" s="543">
        <f t="shared" si="11"/>
        <v>0</v>
      </c>
    </row>
    <row r="110" spans="2:23" x14ac:dyDescent="0.55000000000000004">
      <c r="B110" s="194" t="s">
        <v>579</v>
      </c>
      <c r="C110" s="25"/>
      <c r="D110" s="128"/>
      <c r="E110" s="6"/>
      <c r="F110" s="101"/>
      <c r="G110" s="101"/>
      <c r="H110" s="137"/>
      <c r="I110" s="6"/>
      <c r="J110" s="100">
        <f t="shared" si="6"/>
        <v>0</v>
      </c>
      <c r="K110" s="100">
        <f t="shared" si="7"/>
        <v>0</v>
      </c>
      <c r="L110" s="88">
        <f>K110*係数!$H$30</f>
        <v>0</v>
      </c>
      <c r="M110" s="25"/>
      <c r="N110" s="6"/>
      <c r="O110" s="6"/>
      <c r="P110" s="137"/>
      <c r="Q110" s="6"/>
      <c r="R110" s="533">
        <f t="shared" si="8"/>
        <v>0</v>
      </c>
      <c r="S110" s="12">
        <f t="shared" si="9"/>
        <v>0</v>
      </c>
      <c r="T110" s="88">
        <f>S110*係数!$H$30</f>
        <v>0</v>
      </c>
      <c r="U110" s="12">
        <f t="shared" si="10"/>
        <v>0</v>
      </c>
      <c r="V110" s="545">
        <f>U110*係数!$C$30*0.0000258</f>
        <v>0</v>
      </c>
      <c r="W110" s="543">
        <f t="shared" si="11"/>
        <v>0</v>
      </c>
    </row>
    <row r="111" spans="2:23" x14ac:dyDescent="0.55000000000000004">
      <c r="B111" s="194" t="s">
        <v>580</v>
      </c>
      <c r="C111" s="25"/>
      <c r="D111" s="128"/>
      <c r="E111" s="6"/>
      <c r="F111" s="101"/>
      <c r="G111" s="101"/>
      <c r="H111" s="137"/>
      <c r="I111" s="6"/>
      <c r="J111" s="100">
        <f t="shared" si="6"/>
        <v>0</v>
      </c>
      <c r="K111" s="100">
        <f t="shared" si="7"/>
        <v>0</v>
      </c>
      <c r="L111" s="88">
        <f>K111*係数!$H$30</f>
        <v>0</v>
      </c>
      <c r="M111" s="25"/>
      <c r="N111" s="6"/>
      <c r="O111" s="6"/>
      <c r="P111" s="137"/>
      <c r="Q111" s="6"/>
      <c r="R111" s="533">
        <f t="shared" si="8"/>
        <v>0</v>
      </c>
      <c r="S111" s="12">
        <f t="shared" si="9"/>
        <v>0</v>
      </c>
      <c r="T111" s="88">
        <f>S111*係数!$H$30</f>
        <v>0</v>
      </c>
      <c r="U111" s="12">
        <f t="shared" si="10"/>
        <v>0</v>
      </c>
      <c r="V111" s="545">
        <f>U111*係数!$C$30*0.0000258</f>
        <v>0</v>
      </c>
      <c r="W111" s="543">
        <f t="shared" si="11"/>
        <v>0</v>
      </c>
    </row>
    <row r="112" spans="2:23" x14ac:dyDescent="0.55000000000000004">
      <c r="B112" s="194" t="s">
        <v>581</v>
      </c>
      <c r="C112" s="25"/>
      <c r="D112" s="128"/>
      <c r="E112" s="6"/>
      <c r="F112" s="101"/>
      <c r="G112" s="101"/>
      <c r="H112" s="137"/>
      <c r="I112" s="6"/>
      <c r="J112" s="100">
        <f t="shared" si="6"/>
        <v>0</v>
      </c>
      <c r="K112" s="100">
        <f t="shared" si="7"/>
        <v>0</v>
      </c>
      <c r="L112" s="88">
        <f>K112*係数!$H$30</f>
        <v>0</v>
      </c>
      <c r="M112" s="25"/>
      <c r="N112" s="6"/>
      <c r="O112" s="6"/>
      <c r="P112" s="137"/>
      <c r="Q112" s="6"/>
      <c r="R112" s="533">
        <f t="shared" si="8"/>
        <v>0</v>
      </c>
      <c r="S112" s="12">
        <f t="shared" si="9"/>
        <v>0</v>
      </c>
      <c r="T112" s="88">
        <f>S112*係数!$H$30</f>
        <v>0</v>
      </c>
      <c r="U112" s="12">
        <f t="shared" si="10"/>
        <v>0</v>
      </c>
      <c r="V112" s="545">
        <f>U112*係数!$C$30*0.0000258</f>
        <v>0</v>
      </c>
      <c r="W112" s="543">
        <f t="shared" si="11"/>
        <v>0</v>
      </c>
    </row>
    <row r="113" spans="2:23" x14ac:dyDescent="0.55000000000000004">
      <c r="B113" s="194" t="s">
        <v>582</v>
      </c>
      <c r="C113" s="25"/>
      <c r="D113" s="128"/>
      <c r="E113" s="6"/>
      <c r="F113" s="101"/>
      <c r="G113" s="101"/>
      <c r="H113" s="137"/>
      <c r="I113" s="6"/>
      <c r="J113" s="100">
        <f t="shared" si="6"/>
        <v>0</v>
      </c>
      <c r="K113" s="100">
        <f t="shared" si="7"/>
        <v>0</v>
      </c>
      <c r="L113" s="88">
        <f>K113*係数!$H$30</f>
        <v>0</v>
      </c>
      <c r="M113" s="25"/>
      <c r="N113" s="6"/>
      <c r="O113" s="6"/>
      <c r="P113" s="137"/>
      <c r="Q113" s="6"/>
      <c r="R113" s="533">
        <f t="shared" si="8"/>
        <v>0</v>
      </c>
      <c r="S113" s="12">
        <f t="shared" si="9"/>
        <v>0</v>
      </c>
      <c r="T113" s="88">
        <f>S113*係数!$H$30</f>
        <v>0</v>
      </c>
      <c r="U113" s="12">
        <f t="shared" si="10"/>
        <v>0</v>
      </c>
      <c r="V113" s="545">
        <f>U113*係数!$C$30*0.0000258</f>
        <v>0</v>
      </c>
      <c r="W113" s="543">
        <f t="shared" si="11"/>
        <v>0</v>
      </c>
    </row>
    <row r="114" spans="2:23" x14ac:dyDescent="0.55000000000000004">
      <c r="B114" s="194" t="s">
        <v>583</v>
      </c>
      <c r="C114" s="25"/>
      <c r="D114" s="128"/>
      <c r="E114" s="6"/>
      <c r="F114" s="101"/>
      <c r="G114" s="101"/>
      <c r="H114" s="137"/>
      <c r="I114" s="6"/>
      <c r="J114" s="100">
        <f t="shared" si="6"/>
        <v>0</v>
      </c>
      <c r="K114" s="100">
        <f t="shared" si="7"/>
        <v>0</v>
      </c>
      <c r="L114" s="88">
        <f>K114*係数!$H$30</f>
        <v>0</v>
      </c>
      <c r="M114" s="25"/>
      <c r="N114" s="6"/>
      <c r="O114" s="6"/>
      <c r="P114" s="137"/>
      <c r="Q114" s="6"/>
      <c r="R114" s="533">
        <f t="shared" si="8"/>
        <v>0</v>
      </c>
      <c r="S114" s="12">
        <f t="shared" si="9"/>
        <v>0</v>
      </c>
      <c r="T114" s="88">
        <f>S114*係数!$H$30</f>
        <v>0</v>
      </c>
      <c r="U114" s="12">
        <f t="shared" si="10"/>
        <v>0</v>
      </c>
      <c r="V114" s="545">
        <f>U114*係数!$C$30*0.0000258</f>
        <v>0</v>
      </c>
      <c r="W114" s="543">
        <f t="shared" si="11"/>
        <v>0</v>
      </c>
    </row>
    <row r="115" spans="2:23" x14ac:dyDescent="0.55000000000000004">
      <c r="B115" s="194" t="s">
        <v>584</v>
      </c>
      <c r="C115" s="25"/>
      <c r="D115" s="128"/>
      <c r="E115" s="6"/>
      <c r="F115" s="101"/>
      <c r="G115" s="101"/>
      <c r="H115" s="137"/>
      <c r="I115" s="6"/>
      <c r="J115" s="100">
        <f t="shared" si="6"/>
        <v>0</v>
      </c>
      <c r="K115" s="100">
        <f t="shared" si="7"/>
        <v>0</v>
      </c>
      <c r="L115" s="88">
        <f>K115*係数!$H$30</f>
        <v>0</v>
      </c>
      <c r="M115" s="25"/>
      <c r="N115" s="6"/>
      <c r="O115" s="6"/>
      <c r="P115" s="137"/>
      <c r="Q115" s="6"/>
      <c r="R115" s="533">
        <f t="shared" si="8"/>
        <v>0</v>
      </c>
      <c r="S115" s="12">
        <f t="shared" si="9"/>
        <v>0</v>
      </c>
      <c r="T115" s="88">
        <f>S115*係数!$H$30</f>
        <v>0</v>
      </c>
      <c r="U115" s="12">
        <f t="shared" si="10"/>
        <v>0</v>
      </c>
      <c r="V115" s="545">
        <f>U115*係数!$C$30*0.0000258</f>
        <v>0</v>
      </c>
      <c r="W115" s="543">
        <f t="shared" si="11"/>
        <v>0</v>
      </c>
    </row>
    <row r="116" spans="2:23" x14ac:dyDescent="0.55000000000000004">
      <c r="B116" s="194" t="s">
        <v>585</v>
      </c>
      <c r="C116" s="25"/>
      <c r="D116" s="128"/>
      <c r="E116" s="6"/>
      <c r="F116" s="101"/>
      <c r="G116" s="101"/>
      <c r="H116" s="137"/>
      <c r="I116" s="6"/>
      <c r="J116" s="100">
        <f t="shared" si="6"/>
        <v>0</v>
      </c>
      <c r="K116" s="100">
        <f t="shared" si="7"/>
        <v>0</v>
      </c>
      <c r="L116" s="88">
        <f>K116*係数!$H$30</f>
        <v>0</v>
      </c>
      <c r="M116" s="25"/>
      <c r="N116" s="6"/>
      <c r="O116" s="6"/>
      <c r="P116" s="137"/>
      <c r="Q116" s="6"/>
      <c r="R116" s="533">
        <f t="shared" si="8"/>
        <v>0</v>
      </c>
      <c r="S116" s="12">
        <f t="shared" si="9"/>
        <v>0</v>
      </c>
      <c r="T116" s="88">
        <f>S116*係数!$H$30</f>
        <v>0</v>
      </c>
      <c r="U116" s="12">
        <f t="shared" si="10"/>
        <v>0</v>
      </c>
      <c r="V116" s="545">
        <f>U116*係数!$C$30*0.0000258</f>
        <v>0</v>
      </c>
      <c r="W116" s="543">
        <f t="shared" si="11"/>
        <v>0</v>
      </c>
    </row>
    <row r="117" spans="2:23" x14ac:dyDescent="0.55000000000000004">
      <c r="B117" s="194" t="s">
        <v>586</v>
      </c>
      <c r="C117" s="25"/>
      <c r="D117" s="128"/>
      <c r="E117" s="6"/>
      <c r="F117" s="101"/>
      <c r="G117" s="101"/>
      <c r="H117" s="137"/>
      <c r="I117" s="6"/>
      <c r="J117" s="100">
        <f t="shared" si="6"/>
        <v>0</v>
      </c>
      <c r="K117" s="100">
        <f t="shared" si="7"/>
        <v>0</v>
      </c>
      <c r="L117" s="88">
        <f>K117*係数!$H$30</f>
        <v>0</v>
      </c>
      <c r="M117" s="25"/>
      <c r="N117" s="6"/>
      <c r="O117" s="6"/>
      <c r="P117" s="137"/>
      <c r="Q117" s="6"/>
      <c r="R117" s="533">
        <f t="shared" si="8"/>
        <v>0</v>
      </c>
      <c r="S117" s="12">
        <f t="shared" si="9"/>
        <v>0</v>
      </c>
      <c r="T117" s="88">
        <f>S117*係数!$H$30</f>
        <v>0</v>
      </c>
      <c r="U117" s="12">
        <f t="shared" si="10"/>
        <v>0</v>
      </c>
      <c r="V117" s="545">
        <f>U117*係数!$C$30*0.0000258</f>
        <v>0</v>
      </c>
      <c r="W117" s="543">
        <f t="shared" si="11"/>
        <v>0</v>
      </c>
    </row>
    <row r="118" spans="2:23" x14ac:dyDescent="0.55000000000000004">
      <c r="B118" s="194" t="s">
        <v>587</v>
      </c>
      <c r="C118" s="25"/>
      <c r="D118" s="128"/>
      <c r="E118" s="6"/>
      <c r="F118" s="101"/>
      <c r="G118" s="101"/>
      <c r="H118" s="137"/>
      <c r="I118" s="6"/>
      <c r="J118" s="100">
        <f t="shared" si="6"/>
        <v>0</v>
      </c>
      <c r="K118" s="100">
        <f t="shared" si="7"/>
        <v>0</v>
      </c>
      <c r="L118" s="88">
        <f>K118*係数!$H$30</f>
        <v>0</v>
      </c>
      <c r="M118" s="25"/>
      <c r="N118" s="6"/>
      <c r="O118" s="6"/>
      <c r="P118" s="137"/>
      <c r="Q118" s="6"/>
      <c r="R118" s="533">
        <f t="shared" si="8"/>
        <v>0</v>
      </c>
      <c r="S118" s="12">
        <f t="shared" si="9"/>
        <v>0</v>
      </c>
      <c r="T118" s="88">
        <f>S118*係数!$H$30</f>
        <v>0</v>
      </c>
      <c r="U118" s="12">
        <f t="shared" si="10"/>
        <v>0</v>
      </c>
      <c r="V118" s="545">
        <f>U118*係数!$C$30*0.0000258</f>
        <v>0</v>
      </c>
      <c r="W118" s="543">
        <f t="shared" si="11"/>
        <v>0</v>
      </c>
    </row>
    <row r="119" spans="2:23" x14ac:dyDescent="0.55000000000000004">
      <c r="B119" s="194" t="s">
        <v>588</v>
      </c>
      <c r="C119" s="25"/>
      <c r="D119" s="128"/>
      <c r="E119" s="6"/>
      <c r="F119" s="101"/>
      <c r="G119" s="101"/>
      <c r="H119" s="137"/>
      <c r="I119" s="6"/>
      <c r="J119" s="100">
        <f t="shared" si="6"/>
        <v>0</v>
      </c>
      <c r="K119" s="100">
        <f t="shared" si="7"/>
        <v>0</v>
      </c>
      <c r="L119" s="88">
        <f>K119*係数!$H$30</f>
        <v>0</v>
      </c>
      <c r="M119" s="25"/>
      <c r="N119" s="6"/>
      <c r="O119" s="6"/>
      <c r="P119" s="137"/>
      <c r="Q119" s="6"/>
      <c r="R119" s="533">
        <f t="shared" si="8"/>
        <v>0</v>
      </c>
      <c r="S119" s="12">
        <f t="shared" si="9"/>
        <v>0</v>
      </c>
      <c r="T119" s="88">
        <f>S119*係数!$H$30</f>
        <v>0</v>
      </c>
      <c r="U119" s="12">
        <f t="shared" si="10"/>
        <v>0</v>
      </c>
      <c r="V119" s="545">
        <f>U119*係数!$C$30*0.0000258</f>
        <v>0</v>
      </c>
      <c r="W119" s="543">
        <f t="shared" si="11"/>
        <v>0</v>
      </c>
    </row>
    <row r="120" spans="2:23" x14ac:dyDescent="0.55000000000000004">
      <c r="B120" s="194" t="s">
        <v>589</v>
      </c>
      <c r="C120" s="25"/>
      <c r="D120" s="128"/>
      <c r="E120" s="6"/>
      <c r="F120" s="101"/>
      <c r="G120" s="101"/>
      <c r="H120" s="137"/>
      <c r="I120" s="6"/>
      <c r="J120" s="100">
        <f t="shared" si="6"/>
        <v>0</v>
      </c>
      <c r="K120" s="100">
        <f t="shared" si="7"/>
        <v>0</v>
      </c>
      <c r="L120" s="88">
        <f>K120*係数!$H$30</f>
        <v>0</v>
      </c>
      <c r="M120" s="25"/>
      <c r="N120" s="6"/>
      <c r="O120" s="6"/>
      <c r="P120" s="137"/>
      <c r="Q120" s="6"/>
      <c r="R120" s="533">
        <f t="shared" si="8"/>
        <v>0</v>
      </c>
      <c r="S120" s="12">
        <f t="shared" si="9"/>
        <v>0</v>
      </c>
      <c r="T120" s="88">
        <f>S120*係数!$H$30</f>
        <v>0</v>
      </c>
      <c r="U120" s="12">
        <f t="shared" si="10"/>
        <v>0</v>
      </c>
      <c r="V120" s="545">
        <f>U120*係数!$C$30*0.0000258</f>
        <v>0</v>
      </c>
      <c r="W120" s="543">
        <f t="shared" si="11"/>
        <v>0</v>
      </c>
    </row>
    <row r="121" spans="2:23" x14ac:dyDescent="0.55000000000000004">
      <c r="B121" s="194" t="s">
        <v>590</v>
      </c>
      <c r="C121" s="25"/>
      <c r="D121" s="128"/>
      <c r="E121" s="6"/>
      <c r="F121" s="101"/>
      <c r="G121" s="101"/>
      <c r="H121" s="137"/>
      <c r="I121" s="6"/>
      <c r="J121" s="100">
        <f t="shared" si="6"/>
        <v>0</v>
      </c>
      <c r="K121" s="100">
        <f t="shared" si="7"/>
        <v>0</v>
      </c>
      <c r="L121" s="88">
        <f>K121*係数!$H$30</f>
        <v>0</v>
      </c>
      <c r="M121" s="25"/>
      <c r="N121" s="6"/>
      <c r="O121" s="6"/>
      <c r="P121" s="137"/>
      <c r="Q121" s="6"/>
      <c r="R121" s="533">
        <f t="shared" si="8"/>
        <v>0</v>
      </c>
      <c r="S121" s="12">
        <f t="shared" si="9"/>
        <v>0</v>
      </c>
      <c r="T121" s="88">
        <f>S121*係数!$H$30</f>
        <v>0</v>
      </c>
      <c r="U121" s="12">
        <f t="shared" si="10"/>
        <v>0</v>
      </c>
      <c r="V121" s="545">
        <f>U121*係数!$C$30*0.0000258</f>
        <v>0</v>
      </c>
      <c r="W121" s="543">
        <f t="shared" si="11"/>
        <v>0</v>
      </c>
    </row>
    <row r="122" spans="2:23" x14ac:dyDescent="0.55000000000000004">
      <c r="B122" s="194" t="s">
        <v>591</v>
      </c>
      <c r="C122" s="25"/>
      <c r="D122" s="128"/>
      <c r="E122" s="6"/>
      <c r="F122" s="101"/>
      <c r="G122" s="101"/>
      <c r="H122" s="137"/>
      <c r="I122" s="6"/>
      <c r="J122" s="100">
        <f t="shared" si="6"/>
        <v>0</v>
      </c>
      <c r="K122" s="100">
        <f t="shared" si="7"/>
        <v>0</v>
      </c>
      <c r="L122" s="88">
        <f>K122*係数!$H$30</f>
        <v>0</v>
      </c>
      <c r="M122" s="25"/>
      <c r="N122" s="6"/>
      <c r="O122" s="6"/>
      <c r="P122" s="137"/>
      <c r="Q122" s="6"/>
      <c r="R122" s="533">
        <f t="shared" si="8"/>
        <v>0</v>
      </c>
      <c r="S122" s="12">
        <f t="shared" si="9"/>
        <v>0</v>
      </c>
      <c r="T122" s="88">
        <f>S122*係数!$H$30</f>
        <v>0</v>
      </c>
      <c r="U122" s="12">
        <f t="shared" si="10"/>
        <v>0</v>
      </c>
      <c r="V122" s="545">
        <f>U122*係数!$C$30*0.0000258</f>
        <v>0</v>
      </c>
      <c r="W122" s="543">
        <f t="shared" si="11"/>
        <v>0</v>
      </c>
    </row>
    <row r="123" spans="2:23" x14ac:dyDescent="0.55000000000000004">
      <c r="B123" s="194" t="s">
        <v>592</v>
      </c>
      <c r="C123" s="25"/>
      <c r="D123" s="128"/>
      <c r="E123" s="6"/>
      <c r="F123" s="101"/>
      <c r="G123" s="101"/>
      <c r="H123" s="137"/>
      <c r="I123" s="6"/>
      <c r="J123" s="100">
        <f t="shared" si="6"/>
        <v>0</v>
      </c>
      <c r="K123" s="100">
        <f t="shared" si="7"/>
        <v>0</v>
      </c>
      <c r="L123" s="88">
        <f>K123*係数!$H$30</f>
        <v>0</v>
      </c>
      <c r="M123" s="25"/>
      <c r="N123" s="6"/>
      <c r="O123" s="6"/>
      <c r="P123" s="137"/>
      <c r="Q123" s="6"/>
      <c r="R123" s="533">
        <f t="shared" si="8"/>
        <v>0</v>
      </c>
      <c r="S123" s="12">
        <f t="shared" si="9"/>
        <v>0</v>
      </c>
      <c r="T123" s="88">
        <f>S123*係数!$H$30</f>
        <v>0</v>
      </c>
      <c r="U123" s="12">
        <f t="shared" si="10"/>
        <v>0</v>
      </c>
      <c r="V123" s="545">
        <f>U123*係数!$C$30*0.0000258</f>
        <v>0</v>
      </c>
      <c r="W123" s="543">
        <f t="shared" si="11"/>
        <v>0</v>
      </c>
    </row>
    <row r="124" spans="2:23" x14ac:dyDescent="0.55000000000000004">
      <c r="B124" s="194" t="s">
        <v>593</v>
      </c>
      <c r="C124" s="25"/>
      <c r="D124" s="128"/>
      <c r="E124" s="6"/>
      <c r="F124" s="101"/>
      <c r="G124" s="101"/>
      <c r="H124" s="137"/>
      <c r="I124" s="6"/>
      <c r="J124" s="100">
        <f t="shared" si="6"/>
        <v>0</v>
      </c>
      <c r="K124" s="100">
        <f t="shared" si="7"/>
        <v>0</v>
      </c>
      <c r="L124" s="88">
        <f>K124*係数!$H$30</f>
        <v>0</v>
      </c>
      <c r="M124" s="25"/>
      <c r="N124" s="6"/>
      <c r="O124" s="6"/>
      <c r="P124" s="137"/>
      <c r="Q124" s="6"/>
      <c r="R124" s="533">
        <f t="shared" si="8"/>
        <v>0</v>
      </c>
      <c r="S124" s="12">
        <f t="shared" si="9"/>
        <v>0</v>
      </c>
      <c r="T124" s="88">
        <f>S124*係数!$H$30</f>
        <v>0</v>
      </c>
      <c r="U124" s="12">
        <f t="shared" si="10"/>
        <v>0</v>
      </c>
      <c r="V124" s="545">
        <f>U124*係数!$C$30*0.0000258</f>
        <v>0</v>
      </c>
      <c r="W124" s="543">
        <f t="shared" si="11"/>
        <v>0</v>
      </c>
    </row>
    <row r="125" spans="2:23" x14ac:dyDescent="0.55000000000000004">
      <c r="B125" s="194" t="s">
        <v>594</v>
      </c>
      <c r="C125" s="25"/>
      <c r="D125" s="128"/>
      <c r="E125" s="6"/>
      <c r="F125" s="101"/>
      <c r="G125" s="101"/>
      <c r="H125" s="137"/>
      <c r="I125" s="6"/>
      <c r="J125" s="100">
        <f t="shared" si="6"/>
        <v>0</v>
      </c>
      <c r="K125" s="100">
        <f t="shared" si="7"/>
        <v>0</v>
      </c>
      <c r="L125" s="88">
        <f>K125*係数!$H$30</f>
        <v>0</v>
      </c>
      <c r="M125" s="25"/>
      <c r="N125" s="6"/>
      <c r="O125" s="6"/>
      <c r="P125" s="137"/>
      <c r="Q125" s="6"/>
      <c r="R125" s="533">
        <f t="shared" si="8"/>
        <v>0</v>
      </c>
      <c r="S125" s="12">
        <f t="shared" si="9"/>
        <v>0</v>
      </c>
      <c r="T125" s="88">
        <f>S125*係数!$H$30</f>
        <v>0</v>
      </c>
      <c r="U125" s="12">
        <f t="shared" si="10"/>
        <v>0</v>
      </c>
      <c r="V125" s="545">
        <f>U125*係数!$C$30*0.0000258</f>
        <v>0</v>
      </c>
      <c r="W125" s="543">
        <f t="shared" si="11"/>
        <v>0</v>
      </c>
    </row>
    <row r="126" spans="2:23" x14ac:dyDescent="0.55000000000000004">
      <c r="B126" s="194" t="s">
        <v>595</v>
      </c>
      <c r="C126" s="25"/>
      <c r="D126" s="128"/>
      <c r="E126" s="6"/>
      <c r="F126" s="101"/>
      <c r="G126" s="101"/>
      <c r="H126" s="137"/>
      <c r="I126" s="6"/>
      <c r="J126" s="100">
        <f t="shared" si="6"/>
        <v>0</v>
      </c>
      <c r="K126" s="100">
        <f t="shared" si="7"/>
        <v>0</v>
      </c>
      <c r="L126" s="88">
        <f>K126*係数!$H$30</f>
        <v>0</v>
      </c>
      <c r="M126" s="25"/>
      <c r="N126" s="6"/>
      <c r="O126" s="6"/>
      <c r="P126" s="137"/>
      <c r="Q126" s="6"/>
      <c r="R126" s="533">
        <f t="shared" si="8"/>
        <v>0</v>
      </c>
      <c r="S126" s="12">
        <f t="shared" si="9"/>
        <v>0</v>
      </c>
      <c r="T126" s="88">
        <f>S126*係数!$H$30</f>
        <v>0</v>
      </c>
      <c r="U126" s="12">
        <f t="shared" si="10"/>
        <v>0</v>
      </c>
      <c r="V126" s="545">
        <f>U126*係数!$C$30*0.0000258</f>
        <v>0</v>
      </c>
      <c r="W126" s="543">
        <f t="shared" si="11"/>
        <v>0</v>
      </c>
    </row>
    <row r="127" spans="2:23" x14ac:dyDescent="0.55000000000000004">
      <c r="B127" s="194" t="s">
        <v>596</v>
      </c>
      <c r="C127" s="25"/>
      <c r="D127" s="128"/>
      <c r="E127" s="6"/>
      <c r="F127" s="101"/>
      <c r="G127" s="101"/>
      <c r="H127" s="137"/>
      <c r="I127" s="6"/>
      <c r="J127" s="100">
        <f t="shared" si="6"/>
        <v>0</v>
      </c>
      <c r="K127" s="100">
        <f t="shared" si="7"/>
        <v>0</v>
      </c>
      <c r="L127" s="88">
        <f>K127*係数!$H$30</f>
        <v>0</v>
      </c>
      <c r="M127" s="25"/>
      <c r="N127" s="6"/>
      <c r="O127" s="6"/>
      <c r="P127" s="137"/>
      <c r="Q127" s="6"/>
      <c r="R127" s="533">
        <f t="shared" si="8"/>
        <v>0</v>
      </c>
      <c r="S127" s="12">
        <f t="shared" si="9"/>
        <v>0</v>
      </c>
      <c r="T127" s="88">
        <f>S127*係数!$H$30</f>
        <v>0</v>
      </c>
      <c r="U127" s="12">
        <f t="shared" si="10"/>
        <v>0</v>
      </c>
      <c r="V127" s="545">
        <f>U127*係数!$C$30*0.0000258</f>
        <v>0</v>
      </c>
      <c r="W127" s="543">
        <f t="shared" si="11"/>
        <v>0</v>
      </c>
    </row>
    <row r="128" spans="2:23" x14ac:dyDescent="0.55000000000000004">
      <c r="B128" s="194" t="s">
        <v>597</v>
      </c>
      <c r="C128" s="25"/>
      <c r="D128" s="128"/>
      <c r="E128" s="6"/>
      <c r="F128" s="101"/>
      <c r="G128" s="101"/>
      <c r="H128" s="137"/>
      <c r="I128" s="6"/>
      <c r="J128" s="100">
        <f t="shared" si="6"/>
        <v>0</v>
      </c>
      <c r="K128" s="100">
        <f t="shared" si="7"/>
        <v>0</v>
      </c>
      <c r="L128" s="88">
        <f>K128*係数!$H$30</f>
        <v>0</v>
      </c>
      <c r="M128" s="25"/>
      <c r="N128" s="6"/>
      <c r="O128" s="6"/>
      <c r="P128" s="137"/>
      <c r="Q128" s="6"/>
      <c r="R128" s="533">
        <f t="shared" si="8"/>
        <v>0</v>
      </c>
      <c r="S128" s="12">
        <f t="shared" si="9"/>
        <v>0</v>
      </c>
      <c r="T128" s="88">
        <f>S128*係数!$H$30</f>
        <v>0</v>
      </c>
      <c r="U128" s="12">
        <f t="shared" si="10"/>
        <v>0</v>
      </c>
      <c r="V128" s="545">
        <f>U128*係数!$C$30*0.0000258</f>
        <v>0</v>
      </c>
      <c r="W128" s="543">
        <f t="shared" si="11"/>
        <v>0</v>
      </c>
    </row>
    <row r="129" spans="2:23" x14ac:dyDescent="0.55000000000000004">
      <c r="B129" s="194" t="s">
        <v>598</v>
      </c>
      <c r="C129" s="25"/>
      <c r="D129" s="128"/>
      <c r="E129" s="6"/>
      <c r="F129" s="101"/>
      <c r="G129" s="101"/>
      <c r="H129" s="137"/>
      <c r="I129" s="6"/>
      <c r="J129" s="100">
        <f t="shared" si="6"/>
        <v>0</v>
      </c>
      <c r="K129" s="100">
        <f t="shared" si="7"/>
        <v>0</v>
      </c>
      <c r="L129" s="88">
        <f>K129*係数!$H$30</f>
        <v>0</v>
      </c>
      <c r="M129" s="25"/>
      <c r="N129" s="6"/>
      <c r="O129" s="6"/>
      <c r="P129" s="137"/>
      <c r="Q129" s="6"/>
      <c r="R129" s="533">
        <f t="shared" si="8"/>
        <v>0</v>
      </c>
      <c r="S129" s="12">
        <f t="shared" si="9"/>
        <v>0</v>
      </c>
      <c r="T129" s="88">
        <f>S129*係数!$H$30</f>
        <v>0</v>
      </c>
      <c r="U129" s="12">
        <f t="shared" si="10"/>
        <v>0</v>
      </c>
      <c r="V129" s="545">
        <f>U129*係数!$C$30*0.0000258</f>
        <v>0</v>
      </c>
      <c r="W129" s="543">
        <f t="shared" si="11"/>
        <v>0</v>
      </c>
    </row>
    <row r="130" spans="2:23" x14ac:dyDescent="0.55000000000000004">
      <c r="B130" s="194" t="s">
        <v>599</v>
      </c>
      <c r="C130" s="25"/>
      <c r="D130" s="128"/>
      <c r="E130" s="6"/>
      <c r="F130" s="101"/>
      <c r="G130" s="101"/>
      <c r="H130" s="137"/>
      <c r="I130" s="6"/>
      <c r="J130" s="100">
        <f t="shared" si="6"/>
        <v>0</v>
      </c>
      <c r="K130" s="100">
        <f t="shared" si="7"/>
        <v>0</v>
      </c>
      <c r="L130" s="88">
        <f>K130*係数!$H$30</f>
        <v>0</v>
      </c>
      <c r="M130" s="25"/>
      <c r="N130" s="6"/>
      <c r="O130" s="6"/>
      <c r="P130" s="137"/>
      <c r="Q130" s="6"/>
      <c r="R130" s="533">
        <f t="shared" si="8"/>
        <v>0</v>
      </c>
      <c r="S130" s="12">
        <f t="shared" si="9"/>
        <v>0</v>
      </c>
      <c r="T130" s="88">
        <f>S130*係数!$H$30</f>
        <v>0</v>
      </c>
      <c r="U130" s="12">
        <f t="shared" si="10"/>
        <v>0</v>
      </c>
      <c r="V130" s="545">
        <f>U130*係数!$C$30*0.0000258</f>
        <v>0</v>
      </c>
      <c r="W130" s="543">
        <f t="shared" si="11"/>
        <v>0</v>
      </c>
    </row>
    <row r="131" spans="2:23" x14ac:dyDescent="0.55000000000000004">
      <c r="B131" s="194" t="s">
        <v>600</v>
      </c>
      <c r="C131" s="25"/>
      <c r="D131" s="128"/>
      <c r="E131" s="6"/>
      <c r="F131" s="101"/>
      <c r="G131" s="101"/>
      <c r="H131" s="137"/>
      <c r="I131" s="6"/>
      <c r="J131" s="100">
        <f t="shared" si="6"/>
        <v>0</v>
      </c>
      <c r="K131" s="100">
        <f t="shared" si="7"/>
        <v>0</v>
      </c>
      <c r="L131" s="88">
        <f>K131*係数!$H$30</f>
        <v>0</v>
      </c>
      <c r="M131" s="25"/>
      <c r="N131" s="6"/>
      <c r="O131" s="6"/>
      <c r="P131" s="137"/>
      <c r="Q131" s="6"/>
      <c r="R131" s="533">
        <f t="shared" si="8"/>
        <v>0</v>
      </c>
      <c r="S131" s="12">
        <f t="shared" si="9"/>
        <v>0</v>
      </c>
      <c r="T131" s="88">
        <f>S131*係数!$H$30</f>
        <v>0</v>
      </c>
      <c r="U131" s="12">
        <f t="shared" si="10"/>
        <v>0</v>
      </c>
      <c r="V131" s="545">
        <f>U131*係数!$C$30*0.0000258</f>
        <v>0</v>
      </c>
      <c r="W131" s="543">
        <f t="shared" si="11"/>
        <v>0</v>
      </c>
    </row>
    <row r="132" spans="2:23" x14ac:dyDescent="0.55000000000000004">
      <c r="B132" s="194" t="s">
        <v>601</v>
      </c>
      <c r="C132" s="25"/>
      <c r="D132" s="128"/>
      <c r="E132" s="6"/>
      <c r="F132" s="101"/>
      <c r="G132" s="101"/>
      <c r="H132" s="137"/>
      <c r="I132" s="6"/>
      <c r="J132" s="100">
        <f t="shared" ref="J132:J195" si="12">IF(H132="",F132*G132,F132*G132*I132/100)</f>
        <v>0</v>
      </c>
      <c r="K132" s="100">
        <f t="shared" ref="K132:K195" si="13">D132*E132*J132/1000</f>
        <v>0</v>
      </c>
      <c r="L132" s="88">
        <f>K132*係数!$H$30</f>
        <v>0</v>
      </c>
      <c r="M132" s="25"/>
      <c r="N132" s="6"/>
      <c r="O132" s="6"/>
      <c r="P132" s="137"/>
      <c r="Q132" s="6"/>
      <c r="R132" s="533">
        <f t="shared" si="8"/>
        <v>0</v>
      </c>
      <c r="S132" s="12">
        <f t="shared" si="9"/>
        <v>0</v>
      </c>
      <c r="T132" s="88">
        <f>S132*係数!$H$30</f>
        <v>0</v>
      </c>
      <c r="U132" s="12">
        <f t="shared" si="10"/>
        <v>0</v>
      </c>
      <c r="V132" s="545">
        <f>U132*係数!$C$30*0.0000258</f>
        <v>0</v>
      </c>
      <c r="W132" s="543">
        <f t="shared" si="11"/>
        <v>0</v>
      </c>
    </row>
    <row r="133" spans="2:23" x14ac:dyDescent="0.55000000000000004">
      <c r="B133" s="194" t="s">
        <v>602</v>
      </c>
      <c r="C133" s="25"/>
      <c r="D133" s="128"/>
      <c r="E133" s="6"/>
      <c r="F133" s="101"/>
      <c r="G133" s="101"/>
      <c r="H133" s="137"/>
      <c r="I133" s="6"/>
      <c r="J133" s="100">
        <f t="shared" si="12"/>
        <v>0</v>
      </c>
      <c r="K133" s="100">
        <f t="shared" si="13"/>
        <v>0</v>
      </c>
      <c r="L133" s="88">
        <f>K133*係数!$H$30</f>
        <v>0</v>
      </c>
      <c r="M133" s="25"/>
      <c r="N133" s="6"/>
      <c r="O133" s="6"/>
      <c r="P133" s="137"/>
      <c r="Q133" s="6"/>
      <c r="R133" s="533">
        <f t="shared" si="8"/>
        <v>0</v>
      </c>
      <c r="S133" s="12">
        <f t="shared" si="9"/>
        <v>0</v>
      </c>
      <c r="T133" s="88">
        <f>S133*係数!$H$30</f>
        <v>0</v>
      </c>
      <c r="U133" s="12">
        <f t="shared" si="10"/>
        <v>0</v>
      </c>
      <c r="V133" s="545">
        <f>U133*係数!$C$30*0.0000258</f>
        <v>0</v>
      </c>
      <c r="W133" s="543">
        <f t="shared" si="11"/>
        <v>0</v>
      </c>
    </row>
    <row r="134" spans="2:23" x14ac:dyDescent="0.55000000000000004">
      <c r="B134" s="194" t="s">
        <v>603</v>
      </c>
      <c r="C134" s="25"/>
      <c r="D134" s="128"/>
      <c r="E134" s="6"/>
      <c r="F134" s="101"/>
      <c r="G134" s="101"/>
      <c r="H134" s="137"/>
      <c r="I134" s="6"/>
      <c r="J134" s="100">
        <f t="shared" si="12"/>
        <v>0</v>
      </c>
      <c r="K134" s="100">
        <f t="shared" si="13"/>
        <v>0</v>
      </c>
      <c r="L134" s="88">
        <f>K134*係数!$H$30</f>
        <v>0</v>
      </c>
      <c r="M134" s="25"/>
      <c r="N134" s="6"/>
      <c r="O134" s="6"/>
      <c r="P134" s="137"/>
      <c r="Q134" s="6"/>
      <c r="R134" s="533">
        <f t="shared" si="8"/>
        <v>0</v>
      </c>
      <c r="S134" s="12">
        <f t="shared" si="9"/>
        <v>0</v>
      </c>
      <c r="T134" s="88">
        <f>S134*係数!$H$30</f>
        <v>0</v>
      </c>
      <c r="U134" s="12">
        <f t="shared" si="10"/>
        <v>0</v>
      </c>
      <c r="V134" s="545">
        <f>U134*係数!$C$30*0.0000258</f>
        <v>0</v>
      </c>
      <c r="W134" s="543">
        <f t="shared" si="11"/>
        <v>0</v>
      </c>
    </row>
    <row r="135" spans="2:23" x14ac:dyDescent="0.55000000000000004">
      <c r="B135" s="194" t="s">
        <v>604</v>
      </c>
      <c r="C135" s="25"/>
      <c r="D135" s="128"/>
      <c r="E135" s="6"/>
      <c r="F135" s="101"/>
      <c r="G135" s="101"/>
      <c r="H135" s="137"/>
      <c r="I135" s="6"/>
      <c r="J135" s="100">
        <f t="shared" si="12"/>
        <v>0</v>
      </c>
      <c r="K135" s="100">
        <f t="shared" si="13"/>
        <v>0</v>
      </c>
      <c r="L135" s="88">
        <f>K135*係数!$H$30</f>
        <v>0</v>
      </c>
      <c r="M135" s="25"/>
      <c r="N135" s="6"/>
      <c r="O135" s="6"/>
      <c r="P135" s="137"/>
      <c r="Q135" s="6"/>
      <c r="R135" s="533">
        <f t="shared" si="8"/>
        <v>0</v>
      </c>
      <c r="S135" s="12">
        <f t="shared" si="9"/>
        <v>0</v>
      </c>
      <c r="T135" s="88">
        <f>S135*係数!$H$30</f>
        <v>0</v>
      </c>
      <c r="U135" s="12">
        <f t="shared" si="10"/>
        <v>0</v>
      </c>
      <c r="V135" s="545">
        <f>U135*係数!$C$30*0.0000258</f>
        <v>0</v>
      </c>
      <c r="W135" s="543">
        <f t="shared" si="11"/>
        <v>0</v>
      </c>
    </row>
    <row r="136" spans="2:23" x14ac:dyDescent="0.55000000000000004">
      <c r="B136" s="194" t="s">
        <v>605</v>
      </c>
      <c r="C136" s="25"/>
      <c r="D136" s="128"/>
      <c r="E136" s="6"/>
      <c r="F136" s="101"/>
      <c r="G136" s="101"/>
      <c r="H136" s="137"/>
      <c r="I136" s="6"/>
      <c r="J136" s="100">
        <f t="shared" si="12"/>
        <v>0</v>
      </c>
      <c r="K136" s="100">
        <f t="shared" si="13"/>
        <v>0</v>
      </c>
      <c r="L136" s="88">
        <f>K136*係数!$H$30</f>
        <v>0</v>
      </c>
      <c r="M136" s="25"/>
      <c r="N136" s="6"/>
      <c r="O136" s="6"/>
      <c r="P136" s="137"/>
      <c r="Q136" s="6"/>
      <c r="R136" s="533">
        <f t="shared" si="8"/>
        <v>0</v>
      </c>
      <c r="S136" s="12">
        <f t="shared" si="9"/>
        <v>0</v>
      </c>
      <c r="T136" s="88">
        <f>S136*係数!$H$30</f>
        <v>0</v>
      </c>
      <c r="U136" s="12">
        <f t="shared" si="10"/>
        <v>0</v>
      </c>
      <c r="V136" s="545">
        <f>U136*係数!$C$30*0.0000258</f>
        <v>0</v>
      </c>
      <c r="W136" s="543">
        <f t="shared" si="11"/>
        <v>0</v>
      </c>
    </row>
    <row r="137" spans="2:23" x14ac:dyDescent="0.55000000000000004">
      <c r="B137" s="194" t="s">
        <v>606</v>
      </c>
      <c r="C137" s="25"/>
      <c r="D137" s="128"/>
      <c r="E137" s="6"/>
      <c r="F137" s="101"/>
      <c r="G137" s="101"/>
      <c r="H137" s="137"/>
      <c r="I137" s="6"/>
      <c r="J137" s="100">
        <f t="shared" si="12"/>
        <v>0</v>
      </c>
      <c r="K137" s="100">
        <f t="shared" si="13"/>
        <v>0</v>
      </c>
      <c r="L137" s="88">
        <f>K137*係数!$H$30</f>
        <v>0</v>
      </c>
      <c r="M137" s="25"/>
      <c r="N137" s="6"/>
      <c r="O137" s="6"/>
      <c r="P137" s="137"/>
      <c r="Q137" s="6"/>
      <c r="R137" s="533">
        <f t="shared" si="8"/>
        <v>0</v>
      </c>
      <c r="S137" s="12">
        <f t="shared" si="9"/>
        <v>0</v>
      </c>
      <c r="T137" s="88">
        <f>S137*係数!$H$30</f>
        <v>0</v>
      </c>
      <c r="U137" s="12">
        <f t="shared" si="10"/>
        <v>0</v>
      </c>
      <c r="V137" s="545">
        <f>U137*係数!$C$30*0.0000258</f>
        <v>0</v>
      </c>
      <c r="W137" s="543">
        <f t="shared" si="11"/>
        <v>0</v>
      </c>
    </row>
    <row r="138" spans="2:23" x14ac:dyDescent="0.55000000000000004">
      <c r="B138" s="194" t="s">
        <v>607</v>
      </c>
      <c r="C138" s="25"/>
      <c r="D138" s="128"/>
      <c r="E138" s="6"/>
      <c r="F138" s="101"/>
      <c r="G138" s="101"/>
      <c r="H138" s="137"/>
      <c r="I138" s="6"/>
      <c r="J138" s="100">
        <f t="shared" si="12"/>
        <v>0</v>
      </c>
      <c r="K138" s="100">
        <f t="shared" si="13"/>
        <v>0</v>
      </c>
      <c r="L138" s="88">
        <f>K138*係数!$H$30</f>
        <v>0</v>
      </c>
      <c r="M138" s="25"/>
      <c r="N138" s="6"/>
      <c r="O138" s="6"/>
      <c r="P138" s="137"/>
      <c r="Q138" s="6"/>
      <c r="R138" s="533">
        <f t="shared" si="8"/>
        <v>0</v>
      </c>
      <c r="S138" s="12">
        <f t="shared" si="9"/>
        <v>0</v>
      </c>
      <c r="T138" s="88">
        <f>S138*係数!$H$30</f>
        <v>0</v>
      </c>
      <c r="U138" s="12">
        <f t="shared" si="10"/>
        <v>0</v>
      </c>
      <c r="V138" s="545">
        <f>U138*係数!$C$30*0.0000258</f>
        <v>0</v>
      </c>
      <c r="W138" s="543">
        <f t="shared" si="11"/>
        <v>0</v>
      </c>
    </row>
    <row r="139" spans="2:23" x14ac:dyDescent="0.55000000000000004">
      <c r="B139" s="194" t="s">
        <v>608</v>
      </c>
      <c r="C139" s="25"/>
      <c r="D139" s="128"/>
      <c r="E139" s="6"/>
      <c r="F139" s="101"/>
      <c r="G139" s="101"/>
      <c r="H139" s="137"/>
      <c r="I139" s="6"/>
      <c r="J139" s="100">
        <f t="shared" si="12"/>
        <v>0</v>
      </c>
      <c r="K139" s="100">
        <f t="shared" si="13"/>
        <v>0</v>
      </c>
      <c r="L139" s="88">
        <f>K139*係数!$H$30</f>
        <v>0</v>
      </c>
      <c r="M139" s="25"/>
      <c r="N139" s="6"/>
      <c r="O139" s="6"/>
      <c r="P139" s="137"/>
      <c r="Q139" s="6"/>
      <c r="R139" s="533">
        <f t="shared" si="8"/>
        <v>0</v>
      </c>
      <c r="S139" s="12">
        <f t="shared" si="9"/>
        <v>0</v>
      </c>
      <c r="T139" s="88">
        <f>S139*係数!$H$30</f>
        <v>0</v>
      </c>
      <c r="U139" s="12">
        <f t="shared" si="10"/>
        <v>0</v>
      </c>
      <c r="V139" s="545">
        <f>U139*係数!$C$30*0.0000258</f>
        <v>0</v>
      </c>
      <c r="W139" s="543">
        <f t="shared" si="11"/>
        <v>0</v>
      </c>
    </row>
    <row r="140" spans="2:23" x14ac:dyDescent="0.55000000000000004">
      <c r="B140" s="194" t="s">
        <v>609</v>
      </c>
      <c r="C140" s="25"/>
      <c r="D140" s="128"/>
      <c r="E140" s="6"/>
      <c r="F140" s="101"/>
      <c r="G140" s="101"/>
      <c r="H140" s="137"/>
      <c r="I140" s="6"/>
      <c r="J140" s="100">
        <f t="shared" si="12"/>
        <v>0</v>
      </c>
      <c r="K140" s="100">
        <f t="shared" si="13"/>
        <v>0</v>
      </c>
      <c r="L140" s="88">
        <f>K140*係数!$H$30</f>
        <v>0</v>
      </c>
      <c r="M140" s="25"/>
      <c r="N140" s="6"/>
      <c r="O140" s="6"/>
      <c r="P140" s="137"/>
      <c r="Q140" s="6"/>
      <c r="R140" s="533">
        <f t="shared" si="8"/>
        <v>0</v>
      </c>
      <c r="S140" s="12">
        <f t="shared" si="9"/>
        <v>0</v>
      </c>
      <c r="T140" s="88">
        <f>S140*係数!$H$30</f>
        <v>0</v>
      </c>
      <c r="U140" s="12">
        <f t="shared" si="10"/>
        <v>0</v>
      </c>
      <c r="V140" s="545">
        <f>U140*係数!$C$30*0.0000258</f>
        <v>0</v>
      </c>
      <c r="W140" s="543">
        <f t="shared" si="11"/>
        <v>0</v>
      </c>
    </row>
    <row r="141" spans="2:23" x14ac:dyDescent="0.55000000000000004">
      <c r="B141" s="194" t="s">
        <v>610</v>
      </c>
      <c r="C141" s="25"/>
      <c r="D141" s="128"/>
      <c r="E141" s="6"/>
      <c r="F141" s="101"/>
      <c r="G141" s="101"/>
      <c r="H141" s="137"/>
      <c r="I141" s="6"/>
      <c r="J141" s="100">
        <f t="shared" si="12"/>
        <v>0</v>
      </c>
      <c r="K141" s="100">
        <f t="shared" si="13"/>
        <v>0</v>
      </c>
      <c r="L141" s="88">
        <f>K141*係数!$H$30</f>
        <v>0</v>
      </c>
      <c r="M141" s="25"/>
      <c r="N141" s="6"/>
      <c r="O141" s="6"/>
      <c r="P141" s="137"/>
      <c r="Q141" s="6"/>
      <c r="R141" s="533">
        <f t="shared" si="8"/>
        <v>0</v>
      </c>
      <c r="S141" s="12">
        <f t="shared" si="9"/>
        <v>0</v>
      </c>
      <c r="T141" s="88">
        <f>S141*係数!$H$30</f>
        <v>0</v>
      </c>
      <c r="U141" s="12">
        <f t="shared" si="10"/>
        <v>0</v>
      </c>
      <c r="V141" s="545">
        <f>U141*係数!$C$30*0.0000258</f>
        <v>0</v>
      </c>
      <c r="W141" s="543">
        <f t="shared" si="11"/>
        <v>0</v>
      </c>
    </row>
    <row r="142" spans="2:23" x14ac:dyDescent="0.55000000000000004">
      <c r="B142" s="194" t="s">
        <v>611</v>
      </c>
      <c r="C142" s="25"/>
      <c r="D142" s="128"/>
      <c r="E142" s="6"/>
      <c r="F142" s="101"/>
      <c r="G142" s="101"/>
      <c r="H142" s="137"/>
      <c r="I142" s="6"/>
      <c r="J142" s="100">
        <f t="shared" si="12"/>
        <v>0</v>
      </c>
      <c r="K142" s="100">
        <f t="shared" si="13"/>
        <v>0</v>
      </c>
      <c r="L142" s="88">
        <f>K142*係数!$H$30</f>
        <v>0</v>
      </c>
      <c r="M142" s="25"/>
      <c r="N142" s="6"/>
      <c r="O142" s="6"/>
      <c r="P142" s="137"/>
      <c r="Q142" s="6"/>
      <c r="R142" s="533">
        <f t="shared" si="8"/>
        <v>0</v>
      </c>
      <c r="S142" s="12">
        <f t="shared" si="9"/>
        <v>0</v>
      </c>
      <c r="T142" s="88">
        <f>S142*係数!$H$30</f>
        <v>0</v>
      </c>
      <c r="U142" s="12">
        <f t="shared" si="10"/>
        <v>0</v>
      </c>
      <c r="V142" s="545">
        <f>U142*係数!$C$30*0.0000258</f>
        <v>0</v>
      </c>
      <c r="W142" s="543">
        <f t="shared" si="11"/>
        <v>0</v>
      </c>
    </row>
    <row r="143" spans="2:23" x14ac:dyDescent="0.55000000000000004">
      <c r="B143" s="194" t="s">
        <v>612</v>
      </c>
      <c r="C143" s="25"/>
      <c r="D143" s="128"/>
      <c r="E143" s="6"/>
      <c r="F143" s="101"/>
      <c r="G143" s="101"/>
      <c r="H143" s="137"/>
      <c r="I143" s="6"/>
      <c r="J143" s="100">
        <f t="shared" si="12"/>
        <v>0</v>
      </c>
      <c r="K143" s="100">
        <f t="shared" si="13"/>
        <v>0</v>
      </c>
      <c r="L143" s="88">
        <f>K143*係数!$H$30</f>
        <v>0</v>
      </c>
      <c r="M143" s="25"/>
      <c r="N143" s="6"/>
      <c r="O143" s="6"/>
      <c r="P143" s="137"/>
      <c r="Q143" s="6"/>
      <c r="R143" s="533">
        <f t="shared" si="8"/>
        <v>0</v>
      </c>
      <c r="S143" s="12">
        <f t="shared" si="9"/>
        <v>0</v>
      </c>
      <c r="T143" s="88">
        <f>S143*係数!$H$30</f>
        <v>0</v>
      </c>
      <c r="U143" s="12">
        <f t="shared" si="10"/>
        <v>0</v>
      </c>
      <c r="V143" s="545">
        <f>U143*係数!$C$30*0.0000258</f>
        <v>0</v>
      </c>
      <c r="W143" s="543">
        <f t="shared" si="11"/>
        <v>0</v>
      </c>
    </row>
    <row r="144" spans="2:23" x14ac:dyDescent="0.55000000000000004">
      <c r="B144" s="194" t="s">
        <v>613</v>
      </c>
      <c r="C144" s="25"/>
      <c r="D144" s="128"/>
      <c r="E144" s="6"/>
      <c r="F144" s="101"/>
      <c r="G144" s="101"/>
      <c r="H144" s="137"/>
      <c r="I144" s="6"/>
      <c r="J144" s="100">
        <f t="shared" si="12"/>
        <v>0</v>
      </c>
      <c r="K144" s="100">
        <f t="shared" si="13"/>
        <v>0</v>
      </c>
      <c r="L144" s="88">
        <f>K144*係数!$H$30</f>
        <v>0</v>
      </c>
      <c r="M144" s="25"/>
      <c r="N144" s="6"/>
      <c r="O144" s="6"/>
      <c r="P144" s="137"/>
      <c r="Q144" s="6"/>
      <c r="R144" s="533">
        <f t="shared" si="8"/>
        <v>0</v>
      </c>
      <c r="S144" s="12">
        <f t="shared" si="9"/>
        <v>0</v>
      </c>
      <c r="T144" s="88">
        <f>S144*係数!$H$30</f>
        <v>0</v>
      </c>
      <c r="U144" s="12">
        <f t="shared" si="10"/>
        <v>0</v>
      </c>
      <c r="V144" s="545">
        <f>U144*係数!$C$30*0.0000258</f>
        <v>0</v>
      </c>
      <c r="W144" s="543">
        <f t="shared" si="11"/>
        <v>0</v>
      </c>
    </row>
    <row r="145" spans="2:23" x14ac:dyDescent="0.55000000000000004">
      <c r="B145" s="194" t="s">
        <v>614</v>
      </c>
      <c r="C145" s="25"/>
      <c r="D145" s="128"/>
      <c r="E145" s="6"/>
      <c r="F145" s="101"/>
      <c r="G145" s="101"/>
      <c r="H145" s="137"/>
      <c r="I145" s="6"/>
      <c r="J145" s="100">
        <f t="shared" si="12"/>
        <v>0</v>
      </c>
      <c r="K145" s="100">
        <f t="shared" si="13"/>
        <v>0</v>
      </c>
      <c r="L145" s="88">
        <f>K145*係数!$H$30</f>
        <v>0</v>
      </c>
      <c r="M145" s="25"/>
      <c r="N145" s="6"/>
      <c r="O145" s="6"/>
      <c r="P145" s="137"/>
      <c r="Q145" s="6"/>
      <c r="R145" s="533">
        <f t="shared" si="8"/>
        <v>0</v>
      </c>
      <c r="S145" s="12">
        <f t="shared" si="9"/>
        <v>0</v>
      </c>
      <c r="T145" s="88">
        <f>S145*係数!$H$30</f>
        <v>0</v>
      </c>
      <c r="U145" s="12">
        <f t="shared" si="10"/>
        <v>0</v>
      </c>
      <c r="V145" s="545">
        <f>U145*係数!$C$30*0.0000258</f>
        <v>0</v>
      </c>
      <c r="W145" s="543">
        <f t="shared" si="11"/>
        <v>0</v>
      </c>
    </row>
    <row r="146" spans="2:23" x14ac:dyDescent="0.55000000000000004">
      <c r="B146" s="194" t="s">
        <v>615</v>
      </c>
      <c r="C146" s="25"/>
      <c r="D146" s="128"/>
      <c r="E146" s="6"/>
      <c r="F146" s="101"/>
      <c r="G146" s="101"/>
      <c r="H146" s="137"/>
      <c r="I146" s="6"/>
      <c r="J146" s="100">
        <f t="shared" si="12"/>
        <v>0</v>
      </c>
      <c r="K146" s="100">
        <f t="shared" si="13"/>
        <v>0</v>
      </c>
      <c r="L146" s="88">
        <f>K146*係数!$H$30</f>
        <v>0</v>
      </c>
      <c r="M146" s="25"/>
      <c r="N146" s="6"/>
      <c r="O146" s="6"/>
      <c r="P146" s="137"/>
      <c r="Q146" s="6"/>
      <c r="R146" s="533">
        <f t="shared" ref="R146:R209" si="14">IF(P146="",J146,J146*Q146/100)</f>
        <v>0</v>
      </c>
      <c r="S146" s="12">
        <f t="shared" ref="S146:S209" si="15">N146*O146*R146/1000</f>
        <v>0</v>
      </c>
      <c r="T146" s="88">
        <f>S146*係数!$H$30</f>
        <v>0</v>
      </c>
      <c r="U146" s="12">
        <f t="shared" ref="U146:U209" si="16">K146-S146</f>
        <v>0</v>
      </c>
      <c r="V146" s="545">
        <f>U146*係数!$C$30*0.0000258</f>
        <v>0</v>
      </c>
      <c r="W146" s="543">
        <f t="shared" ref="W146:W209" si="17">L146-T146</f>
        <v>0</v>
      </c>
    </row>
    <row r="147" spans="2:23" x14ac:dyDescent="0.55000000000000004">
      <c r="B147" s="194" t="s">
        <v>616</v>
      </c>
      <c r="C147" s="25"/>
      <c r="D147" s="128"/>
      <c r="E147" s="6"/>
      <c r="F147" s="101"/>
      <c r="G147" s="101"/>
      <c r="H147" s="137"/>
      <c r="I147" s="6"/>
      <c r="J147" s="100">
        <f t="shared" si="12"/>
        <v>0</v>
      </c>
      <c r="K147" s="100">
        <f t="shared" si="13"/>
        <v>0</v>
      </c>
      <c r="L147" s="88">
        <f>K147*係数!$H$30</f>
        <v>0</v>
      </c>
      <c r="M147" s="25"/>
      <c r="N147" s="6"/>
      <c r="O147" s="6"/>
      <c r="P147" s="137"/>
      <c r="Q147" s="6"/>
      <c r="R147" s="533">
        <f t="shared" si="14"/>
        <v>0</v>
      </c>
      <c r="S147" s="12">
        <f t="shared" si="15"/>
        <v>0</v>
      </c>
      <c r="T147" s="88">
        <f>S147*係数!$H$30</f>
        <v>0</v>
      </c>
      <c r="U147" s="12">
        <f t="shared" si="16"/>
        <v>0</v>
      </c>
      <c r="V147" s="545">
        <f>U147*係数!$C$30*0.0000258</f>
        <v>0</v>
      </c>
      <c r="W147" s="543">
        <f t="shared" si="17"/>
        <v>0</v>
      </c>
    </row>
    <row r="148" spans="2:23" x14ac:dyDescent="0.55000000000000004">
      <c r="B148" s="194" t="s">
        <v>617</v>
      </c>
      <c r="C148" s="25"/>
      <c r="D148" s="128"/>
      <c r="E148" s="6"/>
      <c r="F148" s="101"/>
      <c r="G148" s="101"/>
      <c r="H148" s="137"/>
      <c r="I148" s="6"/>
      <c r="J148" s="100">
        <f t="shared" si="12"/>
        <v>0</v>
      </c>
      <c r="K148" s="100">
        <f t="shared" si="13"/>
        <v>0</v>
      </c>
      <c r="L148" s="88">
        <f>K148*係数!$H$30</f>
        <v>0</v>
      </c>
      <c r="M148" s="25"/>
      <c r="N148" s="6"/>
      <c r="O148" s="6"/>
      <c r="P148" s="137"/>
      <c r="Q148" s="6"/>
      <c r="R148" s="533">
        <f t="shared" si="14"/>
        <v>0</v>
      </c>
      <c r="S148" s="12">
        <f t="shared" si="15"/>
        <v>0</v>
      </c>
      <c r="T148" s="88">
        <f>S148*係数!$H$30</f>
        <v>0</v>
      </c>
      <c r="U148" s="12">
        <f t="shared" si="16"/>
        <v>0</v>
      </c>
      <c r="V148" s="545">
        <f>U148*係数!$C$30*0.0000258</f>
        <v>0</v>
      </c>
      <c r="W148" s="543">
        <f t="shared" si="17"/>
        <v>0</v>
      </c>
    </row>
    <row r="149" spans="2:23" x14ac:dyDescent="0.55000000000000004">
      <c r="B149" s="194" t="s">
        <v>618</v>
      </c>
      <c r="C149" s="25"/>
      <c r="D149" s="128"/>
      <c r="E149" s="6"/>
      <c r="F149" s="101"/>
      <c r="G149" s="101"/>
      <c r="H149" s="137"/>
      <c r="I149" s="6"/>
      <c r="J149" s="100">
        <f t="shared" si="12"/>
        <v>0</v>
      </c>
      <c r="K149" s="100">
        <f t="shared" si="13"/>
        <v>0</v>
      </c>
      <c r="L149" s="88">
        <f>K149*係数!$H$30</f>
        <v>0</v>
      </c>
      <c r="M149" s="25"/>
      <c r="N149" s="6"/>
      <c r="O149" s="6"/>
      <c r="P149" s="137"/>
      <c r="Q149" s="6"/>
      <c r="R149" s="533">
        <f t="shared" si="14"/>
        <v>0</v>
      </c>
      <c r="S149" s="12">
        <f t="shared" si="15"/>
        <v>0</v>
      </c>
      <c r="T149" s="88">
        <f>S149*係数!$H$30</f>
        <v>0</v>
      </c>
      <c r="U149" s="12">
        <f t="shared" si="16"/>
        <v>0</v>
      </c>
      <c r="V149" s="545">
        <f>U149*係数!$C$30*0.0000258</f>
        <v>0</v>
      </c>
      <c r="W149" s="543">
        <f t="shared" si="17"/>
        <v>0</v>
      </c>
    </row>
    <row r="150" spans="2:23" x14ac:dyDescent="0.55000000000000004">
      <c r="B150" s="194" t="s">
        <v>619</v>
      </c>
      <c r="C150" s="25"/>
      <c r="D150" s="128"/>
      <c r="E150" s="6"/>
      <c r="F150" s="101"/>
      <c r="G150" s="101"/>
      <c r="H150" s="137"/>
      <c r="I150" s="6"/>
      <c r="J150" s="100">
        <f t="shared" si="12"/>
        <v>0</v>
      </c>
      <c r="K150" s="100">
        <f t="shared" si="13"/>
        <v>0</v>
      </c>
      <c r="L150" s="88">
        <f>K150*係数!$H$30</f>
        <v>0</v>
      </c>
      <c r="M150" s="25"/>
      <c r="N150" s="6"/>
      <c r="O150" s="6"/>
      <c r="P150" s="137"/>
      <c r="Q150" s="6"/>
      <c r="R150" s="533">
        <f t="shared" si="14"/>
        <v>0</v>
      </c>
      <c r="S150" s="12">
        <f t="shared" si="15"/>
        <v>0</v>
      </c>
      <c r="T150" s="88">
        <f>S150*係数!$H$30</f>
        <v>0</v>
      </c>
      <c r="U150" s="12">
        <f t="shared" si="16"/>
        <v>0</v>
      </c>
      <c r="V150" s="545">
        <f>U150*係数!$C$30*0.0000258</f>
        <v>0</v>
      </c>
      <c r="W150" s="543">
        <f t="shared" si="17"/>
        <v>0</v>
      </c>
    </row>
    <row r="151" spans="2:23" x14ac:dyDescent="0.55000000000000004">
      <c r="B151" s="194" t="s">
        <v>620</v>
      </c>
      <c r="C151" s="25"/>
      <c r="D151" s="128"/>
      <c r="E151" s="6"/>
      <c r="F151" s="101"/>
      <c r="G151" s="101"/>
      <c r="H151" s="137"/>
      <c r="I151" s="6"/>
      <c r="J151" s="100">
        <f t="shared" si="12"/>
        <v>0</v>
      </c>
      <c r="K151" s="100">
        <f t="shared" si="13"/>
        <v>0</v>
      </c>
      <c r="L151" s="88">
        <f>K151*係数!$H$30</f>
        <v>0</v>
      </c>
      <c r="M151" s="25"/>
      <c r="N151" s="6"/>
      <c r="O151" s="6"/>
      <c r="P151" s="137"/>
      <c r="Q151" s="6"/>
      <c r="R151" s="533">
        <f t="shared" si="14"/>
        <v>0</v>
      </c>
      <c r="S151" s="12">
        <f t="shared" si="15"/>
        <v>0</v>
      </c>
      <c r="T151" s="88">
        <f>S151*係数!$H$30</f>
        <v>0</v>
      </c>
      <c r="U151" s="12">
        <f t="shared" si="16"/>
        <v>0</v>
      </c>
      <c r="V151" s="545">
        <f>U151*係数!$C$30*0.0000258</f>
        <v>0</v>
      </c>
      <c r="W151" s="543">
        <f t="shared" si="17"/>
        <v>0</v>
      </c>
    </row>
    <row r="152" spans="2:23" x14ac:dyDescent="0.55000000000000004">
      <c r="B152" s="194" t="s">
        <v>621</v>
      </c>
      <c r="C152" s="25"/>
      <c r="D152" s="128"/>
      <c r="E152" s="6"/>
      <c r="F152" s="101"/>
      <c r="G152" s="101"/>
      <c r="H152" s="137"/>
      <c r="I152" s="6"/>
      <c r="J152" s="100">
        <f t="shared" si="12"/>
        <v>0</v>
      </c>
      <c r="K152" s="100">
        <f t="shared" si="13"/>
        <v>0</v>
      </c>
      <c r="L152" s="88">
        <f>K152*係数!$H$30</f>
        <v>0</v>
      </c>
      <c r="M152" s="25"/>
      <c r="N152" s="6"/>
      <c r="O152" s="6"/>
      <c r="P152" s="137"/>
      <c r="Q152" s="6"/>
      <c r="R152" s="533">
        <f t="shared" si="14"/>
        <v>0</v>
      </c>
      <c r="S152" s="12">
        <f t="shared" si="15"/>
        <v>0</v>
      </c>
      <c r="T152" s="88">
        <f>S152*係数!$H$30</f>
        <v>0</v>
      </c>
      <c r="U152" s="12">
        <f t="shared" si="16"/>
        <v>0</v>
      </c>
      <c r="V152" s="545">
        <f>U152*係数!$C$30*0.0000258</f>
        <v>0</v>
      </c>
      <c r="W152" s="543">
        <f t="shared" si="17"/>
        <v>0</v>
      </c>
    </row>
    <row r="153" spans="2:23" x14ac:dyDescent="0.55000000000000004">
      <c r="B153" s="194" t="s">
        <v>622</v>
      </c>
      <c r="C153" s="25"/>
      <c r="D153" s="128"/>
      <c r="E153" s="6"/>
      <c r="F153" s="101"/>
      <c r="G153" s="101"/>
      <c r="H153" s="137"/>
      <c r="I153" s="6"/>
      <c r="J153" s="100">
        <f t="shared" si="12"/>
        <v>0</v>
      </c>
      <c r="K153" s="100">
        <f t="shared" si="13"/>
        <v>0</v>
      </c>
      <c r="L153" s="88">
        <f>K153*係数!$H$30</f>
        <v>0</v>
      </c>
      <c r="M153" s="25"/>
      <c r="N153" s="6"/>
      <c r="O153" s="6"/>
      <c r="P153" s="137"/>
      <c r="Q153" s="6"/>
      <c r="R153" s="533">
        <f t="shared" si="14"/>
        <v>0</v>
      </c>
      <c r="S153" s="12">
        <f t="shared" si="15"/>
        <v>0</v>
      </c>
      <c r="T153" s="88">
        <f>S153*係数!$H$30</f>
        <v>0</v>
      </c>
      <c r="U153" s="12">
        <f t="shared" si="16"/>
        <v>0</v>
      </c>
      <c r="V153" s="545">
        <f>U153*係数!$C$30*0.0000258</f>
        <v>0</v>
      </c>
      <c r="W153" s="543">
        <f t="shared" si="17"/>
        <v>0</v>
      </c>
    </row>
    <row r="154" spans="2:23" x14ac:dyDescent="0.55000000000000004">
      <c r="B154" s="194" t="s">
        <v>623</v>
      </c>
      <c r="C154" s="25"/>
      <c r="D154" s="128"/>
      <c r="E154" s="6"/>
      <c r="F154" s="101"/>
      <c r="G154" s="101"/>
      <c r="H154" s="137"/>
      <c r="I154" s="6"/>
      <c r="J154" s="100">
        <f t="shared" si="12"/>
        <v>0</v>
      </c>
      <c r="K154" s="100">
        <f t="shared" si="13"/>
        <v>0</v>
      </c>
      <c r="L154" s="88">
        <f>K154*係数!$H$30</f>
        <v>0</v>
      </c>
      <c r="M154" s="25"/>
      <c r="N154" s="6"/>
      <c r="O154" s="6"/>
      <c r="P154" s="137"/>
      <c r="Q154" s="6"/>
      <c r="R154" s="533">
        <f t="shared" si="14"/>
        <v>0</v>
      </c>
      <c r="S154" s="12">
        <f t="shared" si="15"/>
        <v>0</v>
      </c>
      <c r="T154" s="88">
        <f>S154*係数!$H$30</f>
        <v>0</v>
      </c>
      <c r="U154" s="12">
        <f t="shared" si="16"/>
        <v>0</v>
      </c>
      <c r="V154" s="545">
        <f>U154*係数!$C$30*0.0000258</f>
        <v>0</v>
      </c>
      <c r="W154" s="543">
        <f t="shared" si="17"/>
        <v>0</v>
      </c>
    </row>
    <row r="155" spans="2:23" x14ac:dyDescent="0.55000000000000004">
      <c r="B155" s="194" t="s">
        <v>624</v>
      </c>
      <c r="C155" s="25"/>
      <c r="D155" s="128"/>
      <c r="E155" s="6"/>
      <c r="F155" s="101"/>
      <c r="G155" s="101"/>
      <c r="H155" s="137"/>
      <c r="I155" s="6"/>
      <c r="J155" s="100">
        <f t="shared" si="12"/>
        <v>0</v>
      </c>
      <c r="K155" s="100">
        <f t="shared" si="13"/>
        <v>0</v>
      </c>
      <c r="L155" s="88">
        <f>K155*係数!$H$30</f>
        <v>0</v>
      </c>
      <c r="M155" s="25"/>
      <c r="N155" s="6"/>
      <c r="O155" s="6"/>
      <c r="P155" s="137"/>
      <c r="Q155" s="6"/>
      <c r="R155" s="533">
        <f t="shared" si="14"/>
        <v>0</v>
      </c>
      <c r="S155" s="12">
        <f t="shared" si="15"/>
        <v>0</v>
      </c>
      <c r="T155" s="88">
        <f>S155*係数!$H$30</f>
        <v>0</v>
      </c>
      <c r="U155" s="12">
        <f t="shared" si="16"/>
        <v>0</v>
      </c>
      <c r="V155" s="545">
        <f>U155*係数!$C$30*0.0000258</f>
        <v>0</v>
      </c>
      <c r="W155" s="543">
        <f t="shared" si="17"/>
        <v>0</v>
      </c>
    </row>
    <row r="156" spans="2:23" x14ac:dyDescent="0.55000000000000004">
      <c r="B156" s="194" t="s">
        <v>625</v>
      </c>
      <c r="C156" s="25"/>
      <c r="D156" s="128"/>
      <c r="E156" s="6"/>
      <c r="F156" s="101"/>
      <c r="G156" s="101"/>
      <c r="H156" s="137"/>
      <c r="I156" s="6"/>
      <c r="J156" s="100">
        <f t="shared" si="12"/>
        <v>0</v>
      </c>
      <c r="K156" s="100">
        <f t="shared" si="13"/>
        <v>0</v>
      </c>
      <c r="L156" s="88">
        <f>K156*係数!$H$30</f>
        <v>0</v>
      </c>
      <c r="M156" s="25"/>
      <c r="N156" s="6"/>
      <c r="O156" s="6"/>
      <c r="P156" s="137"/>
      <c r="Q156" s="6"/>
      <c r="R156" s="533">
        <f t="shared" si="14"/>
        <v>0</v>
      </c>
      <c r="S156" s="12">
        <f t="shared" si="15"/>
        <v>0</v>
      </c>
      <c r="T156" s="88">
        <f>S156*係数!$H$30</f>
        <v>0</v>
      </c>
      <c r="U156" s="12">
        <f t="shared" si="16"/>
        <v>0</v>
      </c>
      <c r="V156" s="545">
        <f>U156*係数!$C$30*0.0000258</f>
        <v>0</v>
      </c>
      <c r="W156" s="543">
        <f t="shared" si="17"/>
        <v>0</v>
      </c>
    </row>
    <row r="157" spans="2:23" x14ac:dyDescent="0.55000000000000004">
      <c r="B157" s="194" t="s">
        <v>626</v>
      </c>
      <c r="C157" s="25"/>
      <c r="D157" s="128"/>
      <c r="E157" s="6"/>
      <c r="F157" s="101"/>
      <c r="G157" s="101"/>
      <c r="H157" s="137"/>
      <c r="I157" s="6"/>
      <c r="J157" s="100">
        <f t="shared" si="12"/>
        <v>0</v>
      </c>
      <c r="K157" s="100">
        <f t="shared" si="13"/>
        <v>0</v>
      </c>
      <c r="L157" s="88">
        <f>K157*係数!$H$30</f>
        <v>0</v>
      </c>
      <c r="M157" s="25"/>
      <c r="N157" s="6"/>
      <c r="O157" s="6"/>
      <c r="P157" s="137"/>
      <c r="Q157" s="6"/>
      <c r="R157" s="533">
        <f t="shared" si="14"/>
        <v>0</v>
      </c>
      <c r="S157" s="12">
        <f t="shared" si="15"/>
        <v>0</v>
      </c>
      <c r="T157" s="88">
        <f>S157*係数!$H$30</f>
        <v>0</v>
      </c>
      <c r="U157" s="12">
        <f t="shared" si="16"/>
        <v>0</v>
      </c>
      <c r="V157" s="545">
        <f>U157*係数!$C$30*0.0000258</f>
        <v>0</v>
      </c>
      <c r="W157" s="543">
        <f t="shared" si="17"/>
        <v>0</v>
      </c>
    </row>
    <row r="158" spans="2:23" x14ac:dyDescent="0.55000000000000004">
      <c r="B158" s="194" t="s">
        <v>627</v>
      </c>
      <c r="C158" s="25"/>
      <c r="D158" s="128"/>
      <c r="E158" s="6"/>
      <c r="F158" s="101"/>
      <c r="G158" s="101"/>
      <c r="H158" s="137"/>
      <c r="I158" s="6"/>
      <c r="J158" s="100">
        <f t="shared" si="12"/>
        <v>0</v>
      </c>
      <c r="K158" s="100">
        <f t="shared" si="13"/>
        <v>0</v>
      </c>
      <c r="L158" s="88">
        <f>K158*係数!$H$30</f>
        <v>0</v>
      </c>
      <c r="M158" s="25"/>
      <c r="N158" s="6"/>
      <c r="O158" s="6"/>
      <c r="P158" s="137"/>
      <c r="Q158" s="6"/>
      <c r="R158" s="533">
        <f t="shared" si="14"/>
        <v>0</v>
      </c>
      <c r="S158" s="12">
        <f t="shared" si="15"/>
        <v>0</v>
      </c>
      <c r="T158" s="88">
        <f>S158*係数!$H$30</f>
        <v>0</v>
      </c>
      <c r="U158" s="12">
        <f t="shared" si="16"/>
        <v>0</v>
      </c>
      <c r="V158" s="545">
        <f>U158*係数!$C$30*0.0000258</f>
        <v>0</v>
      </c>
      <c r="W158" s="543">
        <f t="shared" si="17"/>
        <v>0</v>
      </c>
    </row>
    <row r="159" spans="2:23" x14ac:dyDescent="0.55000000000000004">
      <c r="B159" s="194" t="s">
        <v>628</v>
      </c>
      <c r="C159" s="25"/>
      <c r="D159" s="128"/>
      <c r="E159" s="6"/>
      <c r="F159" s="101"/>
      <c r="G159" s="101"/>
      <c r="H159" s="137"/>
      <c r="I159" s="6"/>
      <c r="J159" s="100">
        <f t="shared" si="12"/>
        <v>0</v>
      </c>
      <c r="K159" s="100">
        <f t="shared" si="13"/>
        <v>0</v>
      </c>
      <c r="L159" s="88">
        <f>K159*係数!$H$30</f>
        <v>0</v>
      </c>
      <c r="M159" s="25"/>
      <c r="N159" s="6"/>
      <c r="O159" s="6"/>
      <c r="P159" s="137"/>
      <c r="Q159" s="6"/>
      <c r="R159" s="533">
        <f t="shared" si="14"/>
        <v>0</v>
      </c>
      <c r="S159" s="12">
        <f t="shared" si="15"/>
        <v>0</v>
      </c>
      <c r="T159" s="88">
        <f>S159*係数!$H$30</f>
        <v>0</v>
      </c>
      <c r="U159" s="12">
        <f t="shared" si="16"/>
        <v>0</v>
      </c>
      <c r="V159" s="545">
        <f>U159*係数!$C$30*0.0000258</f>
        <v>0</v>
      </c>
      <c r="W159" s="543">
        <f t="shared" si="17"/>
        <v>0</v>
      </c>
    </row>
    <row r="160" spans="2:23" x14ac:dyDescent="0.55000000000000004">
      <c r="B160" s="194" t="s">
        <v>629</v>
      </c>
      <c r="C160" s="25"/>
      <c r="D160" s="128"/>
      <c r="E160" s="6"/>
      <c r="F160" s="101"/>
      <c r="G160" s="101"/>
      <c r="H160" s="137"/>
      <c r="I160" s="6"/>
      <c r="J160" s="100">
        <f t="shared" si="12"/>
        <v>0</v>
      </c>
      <c r="K160" s="100">
        <f t="shared" si="13"/>
        <v>0</v>
      </c>
      <c r="L160" s="88">
        <f>K160*係数!$H$30</f>
        <v>0</v>
      </c>
      <c r="M160" s="25"/>
      <c r="N160" s="6"/>
      <c r="O160" s="6"/>
      <c r="P160" s="137"/>
      <c r="Q160" s="6"/>
      <c r="R160" s="533">
        <f t="shared" si="14"/>
        <v>0</v>
      </c>
      <c r="S160" s="12">
        <f t="shared" si="15"/>
        <v>0</v>
      </c>
      <c r="T160" s="88">
        <f>S160*係数!$H$30</f>
        <v>0</v>
      </c>
      <c r="U160" s="12">
        <f t="shared" si="16"/>
        <v>0</v>
      </c>
      <c r="V160" s="545">
        <f>U160*係数!$C$30*0.0000258</f>
        <v>0</v>
      </c>
      <c r="W160" s="543">
        <f t="shared" si="17"/>
        <v>0</v>
      </c>
    </row>
    <row r="161" spans="2:23" x14ac:dyDescent="0.55000000000000004">
      <c r="B161" s="194" t="s">
        <v>630</v>
      </c>
      <c r="C161" s="25"/>
      <c r="D161" s="128"/>
      <c r="E161" s="6"/>
      <c r="F161" s="101"/>
      <c r="G161" s="101"/>
      <c r="H161" s="137"/>
      <c r="I161" s="6"/>
      <c r="J161" s="100">
        <f t="shared" si="12"/>
        <v>0</v>
      </c>
      <c r="K161" s="100">
        <f t="shared" si="13"/>
        <v>0</v>
      </c>
      <c r="L161" s="88">
        <f>K161*係数!$H$30</f>
        <v>0</v>
      </c>
      <c r="M161" s="25"/>
      <c r="N161" s="6"/>
      <c r="O161" s="6"/>
      <c r="P161" s="137"/>
      <c r="Q161" s="6"/>
      <c r="R161" s="533">
        <f t="shared" si="14"/>
        <v>0</v>
      </c>
      <c r="S161" s="12">
        <f t="shared" si="15"/>
        <v>0</v>
      </c>
      <c r="T161" s="88">
        <f>S161*係数!$H$30</f>
        <v>0</v>
      </c>
      <c r="U161" s="12">
        <f t="shared" si="16"/>
        <v>0</v>
      </c>
      <c r="V161" s="545">
        <f>U161*係数!$C$30*0.0000258</f>
        <v>0</v>
      </c>
      <c r="W161" s="543">
        <f t="shared" si="17"/>
        <v>0</v>
      </c>
    </row>
    <row r="162" spans="2:23" x14ac:dyDescent="0.55000000000000004">
      <c r="B162" s="194" t="s">
        <v>631</v>
      </c>
      <c r="C162" s="25"/>
      <c r="D162" s="128"/>
      <c r="E162" s="6"/>
      <c r="F162" s="101"/>
      <c r="G162" s="101"/>
      <c r="H162" s="137"/>
      <c r="I162" s="6"/>
      <c r="J162" s="100">
        <f t="shared" si="12"/>
        <v>0</v>
      </c>
      <c r="K162" s="100">
        <f t="shared" si="13"/>
        <v>0</v>
      </c>
      <c r="L162" s="88">
        <f>K162*係数!$H$30</f>
        <v>0</v>
      </c>
      <c r="M162" s="25"/>
      <c r="N162" s="6"/>
      <c r="O162" s="6"/>
      <c r="P162" s="137"/>
      <c r="Q162" s="6"/>
      <c r="R162" s="533">
        <f t="shared" si="14"/>
        <v>0</v>
      </c>
      <c r="S162" s="12">
        <f t="shared" si="15"/>
        <v>0</v>
      </c>
      <c r="T162" s="88">
        <f>S162*係数!$H$30</f>
        <v>0</v>
      </c>
      <c r="U162" s="12">
        <f t="shared" si="16"/>
        <v>0</v>
      </c>
      <c r="V162" s="545">
        <f>U162*係数!$C$30*0.0000258</f>
        <v>0</v>
      </c>
      <c r="W162" s="543">
        <f t="shared" si="17"/>
        <v>0</v>
      </c>
    </row>
    <row r="163" spans="2:23" x14ac:dyDescent="0.55000000000000004">
      <c r="B163" s="194" t="s">
        <v>632</v>
      </c>
      <c r="C163" s="25"/>
      <c r="D163" s="128"/>
      <c r="E163" s="6"/>
      <c r="F163" s="101"/>
      <c r="G163" s="101"/>
      <c r="H163" s="137"/>
      <c r="I163" s="6"/>
      <c r="J163" s="100">
        <f t="shared" si="12"/>
        <v>0</v>
      </c>
      <c r="K163" s="100">
        <f t="shared" si="13"/>
        <v>0</v>
      </c>
      <c r="L163" s="88">
        <f>K163*係数!$H$30</f>
        <v>0</v>
      </c>
      <c r="M163" s="25"/>
      <c r="N163" s="6"/>
      <c r="O163" s="6"/>
      <c r="P163" s="137"/>
      <c r="Q163" s="6"/>
      <c r="R163" s="533">
        <f t="shared" si="14"/>
        <v>0</v>
      </c>
      <c r="S163" s="12">
        <f t="shared" si="15"/>
        <v>0</v>
      </c>
      <c r="T163" s="88">
        <f>S163*係数!$H$30</f>
        <v>0</v>
      </c>
      <c r="U163" s="12">
        <f t="shared" si="16"/>
        <v>0</v>
      </c>
      <c r="V163" s="545">
        <f>U163*係数!$C$30*0.0000258</f>
        <v>0</v>
      </c>
      <c r="W163" s="543">
        <f t="shared" si="17"/>
        <v>0</v>
      </c>
    </row>
    <row r="164" spans="2:23" x14ac:dyDescent="0.55000000000000004">
      <c r="B164" s="194" t="s">
        <v>633</v>
      </c>
      <c r="C164" s="25"/>
      <c r="D164" s="128"/>
      <c r="E164" s="6"/>
      <c r="F164" s="101"/>
      <c r="G164" s="101"/>
      <c r="H164" s="137"/>
      <c r="I164" s="6"/>
      <c r="J164" s="100">
        <f t="shared" si="12"/>
        <v>0</v>
      </c>
      <c r="K164" s="100">
        <f t="shared" si="13"/>
        <v>0</v>
      </c>
      <c r="L164" s="88">
        <f>K164*係数!$H$30</f>
        <v>0</v>
      </c>
      <c r="M164" s="25"/>
      <c r="N164" s="6"/>
      <c r="O164" s="6"/>
      <c r="P164" s="137"/>
      <c r="Q164" s="6"/>
      <c r="R164" s="533">
        <f t="shared" si="14"/>
        <v>0</v>
      </c>
      <c r="S164" s="12">
        <f t="shared" si="15"/>
        <v>0</v>
      </c>
      <c r="T164" s="88">
        <f>S164*係数!$H$30</f>
        <v>0</v>
      </c>
      <c r="U164" s="12">
        <f t="shared" si="16"/>
        <v>0</v>
      </c>
      <c r="V164" s="545">
        <f>U164*係数!$C$30*0.0000258</f>
        <v>0</v>
      </c>
      <c r="W164" s="543">
        <f t="shared" si="17"/>
        <v>0</v>
      </c>
    </row>
    <row r="165" spans="2:23" x14ac:dyDescent="0.55000000000000004">
      <c r="B165" s="194" t="s">
        <v>634</v>
      </c>
      <c r="C165" s="25"/>
      <c r="D165" s="128"/>
      <c r="E165" s="6"/>
      <c r="F165" s="101"/>
      <c r="G165" s="101"/>
      <c r="H165" s="137"/>
      <c r="I165" s="6"/>
      <c r="J165" s="100">
        <f t="shared" si="12"/>
        <v>0</v>
      </c>
      <c r="K165" s="100">
        <f t="shared" si="13"/>
        <v>0</v>
      </c>
      <c r="L165" s="88">
        <f>K165*係数!$H$30</f>
        <v>0</v>
      </c>
      <c r="M165" s="25"/>
      <c r="N165" s="6"/>
      <c r="O165" s="6"/>
      <c r="P165" s="137"/>
      <c r="Q165" s="6"/>
      <c r="R165" s="533">
        <f t="shared" si="14"/>
        <v>0</v>
      </c>
      <c r="S165" s="12">
        <f t="shared" si="15"/>
        <v>0</v>
      </c>
      <c r="T165" s="88">
        <f>S165*係数!$H$30</f>
        <v>0</v>
      </c>
      <c r="U165" s="12">
        <f t="shared" si="16"/>
        <v>0</v>
      </c>
      <c r="V165" s="545">
        <f>U165*係数!$C$30*0.0000258</f>
        <v>0</v>
      </c>
      <c r="W165" s="543">
        <f t="shared" si="17"/>
        <v>0</v>
      </c>
    </row>
    <row r="166" spans="2:23" x14ac:dyDescent="0.55000000000000004">
      <c r="B166" s="194" t="s">
        <v>635</v>
      </c>
      <c r="C166" s="25"/>
      <c r="D166" s="128"/>
      <c r="E166" s="6"/>
      <c r="F166" s="101"/>
      <c r="G166" s="101"/>
      <c r="H166" s="137"/>
      <c r="I166" s="6"/>
      <c r="J166" s="100">
        <f t="shared" si="12"/>
        <v>0</v>
      </c>
      <c r="K166" s="100">
        <f t="shared" si="13"/>
        <v>0</v>
      </c>
      <c r="L166" s="88">
        <f>K166*係数!$H$30</f>
        <v>0</v>
      </c>
      <c r="M166" s="25"/>
      <c r="N166" s="6"/>
      <c r="O166" s="6"/>
      <c r="P166" s="137"/>
      <c r="Q166" s="6"/>
      <c r="R166" s="533">
        <f t="shared" si="14"/>
        <v>0</v>
      </c>
      <c r="S166" s="12">
        <f t="shared" si="15"/>
        <v>0</v>
      </c>
      <c r="T166" s="88">
        <f>S166*係数!$H$30</f>
        <v>0</v>
      </c>
      <c r="U166" s="12">
        <f t="shared" si="16"/>
        <v>0</v>
      </c>
      <c r="V166" s="545">
        <f>U166*係数!$C$30*0.0000258</f>
        <v>0</v>
      </c>
      <c r="W166" s="543">
        <f t="shared" si="17"/>
        <v>0</v>
      </c>
    </row>
    <row r="167" spans="2:23" x14ac:dyDescent="0.55000000000000004">
      <c r="B167" s="194" t="s">
        <v>636</v>
      </c>
      <c r="C167" s="25"/>
      <c r="D167" s="128"/>
      <c r="E167" s="6"/>
      <c r="F167" s="101"/>
      <c r="G167" s="101"/>
      <c r="H167" s="137"/>
      <c r="I167" s="6"/>
      <c r="J167" s="100">
        <f t="shared" si="12"/>
        <v>0</v>
      </c>
      <c r="K167" s="100">
        <f t="shared" si="13"/>
        <v>0</v>
      </c>
      <c r="L167" s="88">
        <f>K167*係数!$H$30</f>
        <v>0</v>
      </c>
      <c r="M167" s="25"/>
      <c r="N167" s="6"/>
      <c r="O167" s="6"/>
      <c r="P167" s="137"/>
      <c r="Q167" s="6"/>
      <c r="R167" s="533">
        <f t="shared" si="14"/>
        <v>0</v>
      </c>
      <c r="S167" s="12">
        <f t="shared" si="15"/>
        <v>0</v>
      </c>
      <c r="T167" s="88">
        <f>S167*係数!$H$30</f>
        <v>0</v>
      </c>
      <c r="U167" s="12">
        <f t="shared" si="16"/>
        <v>0</v>
      </c>
      <c r="V167" s="545">
        <f>U167*係数!$C$30*0.0000258</f>
        <v>0</v>
      </c>
      <c r="W167" s="543">
        <f t="shared" si="17"/>
        <v>0</v>
      </c>
    </row>
    <row r="168" spans="2:23" x14ac:dyDescent="0.55000000000000004">
      <c r="B168" s="194" t="s">
        <v>637</v>
      </c>
      <c r="C168" s="25"/>
      <c r="D168" s="128"/>
      <c r="E168" s="6"/>
      <c r="F168" s="101"/>
      <c r="G168" s="101"/>
      <c r="H168" s="137"/>
      <c r="I168" s="6"/>
      <c r="J168" s="100">
        <f t="shared" si="12"/>
        <v>0</v>
      </c>
      <c r="K168" s="100">
        <f t="shared" si="13"/>
        <v>0</v>
      </c>
      <c r="L168" s="88">
        <f>K168*係数!$H$30</f>
        <v>0</v>
      </c>
      <c r="M168" s="25"/>
      <c r="N168" s="6"/>
      <c r="O168" s="6"/>
      <c r="P168" s="137"/>
      <c r="Q168" s="6"/>
      <c r="R168" s="533">
        <f t="shared" si="14"/>
        <v>0</v>
      </c>
      <c r="S168" s="12">
        <f t="shared" si="15"/>
        <v>0</v>
      </c>
      <c r="T168" s="88">
        <f>S168*係数!$H$30</f>
        <v>0</v>
      </c>
      <c r="U168" s="12">
        <f t="shared" si="16"/>
        <v>0</v>
      </c>
      <c r="V168" s="545">
        <f>U168*係数!$C$30*0.0000258</f>
        <v>0</v>
      </c>
      <c r="W168" s="543">
        <f t="shared" si="17"/>
        <v>0</v>
      </c>
    </row>
    <row r="169" spans="2:23" x14ac:dyDescent="0.55000000000000004">
      <c r="B169" s="194" t="s">
        <v>638</v>
      </c>
      <c r="C169" s="25"/>
      <c r="D169" s="128"/>
      <c r="E169" s="6"/>
      <c r="F169" s="101"/>
      <c r="G169" s="101"/>
      <c r="H169" s="137"/>
      <c r="I169" s="6"/>
      <c r="J169" s="100">
        <f t="shared" si="12"/>
        <v>0</v>
      </c>
      <c r="K169" s="100">
        <f t="shared" si="13"/>
        <v>0</v>
      </c>
      <c r="L169" s="88">
        <f>K169*係数!$H$30</f>
        <v>0</v>
      </c>
      <c r="M169" s="25"/>
      <c r="N169" s="6"/>
      <c r="O169" s="6"/>
      <c r="P169" s="137"/>
      <c r="Q169" s="6"/>
      <c r="R169" s="533">
        <f t="shared" si="14"/>
        <v>0</v>
      </c>
      <c r="S169" s="12">
        <f t="shared" si="15"/>
        <v>0</v>
      </c>
      <c r="T169" s="88">
        <f>S169*係数!$H$30</f>
        <v>0</v>
      </c>
      <c r="U169" s="12">
        <f t="shared" si="16"/>
        <v>0</v>
      </c>
      <c r="V169" s="545">
        <f>U169*係数!$C$30*0.0000258</f>
        <v>0</v>
      </c>
      <c r="W169" s="543">
        <f t="shared" si="17"/>
        <v>0</v>
      </c>
    </row>
    <row r="170" spans="2:23" x14ac:dyDescent="0.55000000000000004">
      <c r="B170" s="194" t="s">
        <v>639</v>
      </c>
      <c r="C170" s="25"/>
      <c r="D170" s="128"/>
      <c r="E170" s="6"/>
      <c r="F170" s="101"/>
      <c r="G170" s="101"/>
      <c r="H170" s="137"/>
      <c r="I170" s="6"/>
      <c r="J170" s="100">
        <f t="shared" si="12"/>
        <v>0</v>
      </c>
      <c r="K170" s="100">
        <f t="shared" si="13"/>
        <v>0</v>
      </c>
      <c r="L170" s="88">
        <f>K170*係数!$H$30</f>
        <v>0</v>
      </c>
      <c r="M170" s="25"/>
      <c r="N170" s="6"/>
      <c r="O170" s="6"/>
      <c r="P170" s="137"/>
      <c r="Q170" s="6"/>
      <c r="R170" s="533">
        <f t="shared" si="14"/>
        <v>0</v>
      </c>
      <c r="S170" s="12">
        <f t="shared" si="15"/>
        <v>0</v>
      </c>
      <c r="T170" s="88">
        <f>S170*係数!$H$30</f>
        <v>0</v>
      </c>
      <c r="U170" s="12">
        <f t="shared" si="16"/>
        <v>0</v>
      </c>
      <c r="V170" s="545">
        <f>U170*係数!$C$30*0.0000258</f>
        <v>0</v>
      </c>
      <c r="W170" s="543">
        <f t="shared" si="17"/>
        <v>0</v>
      </c>
    </row>
    <row r="171" spans="2:23" x14ac:dyDescent="0.55000000000000004">
      <c r="B171" s="194" t="s">
        <v>640</v>
      </c>
      <c r="C171" s="25"/>
      <c r="D171" s="128"/>
      <c r="E171" s="6"/>
      <c r="F171" s="101"/>
      <c r="G171" s="101"/>
      <c r="H171" s="137"/>
      <c r="I171" s="6"/>
      <c r="J171" s="100">
        <f t="shared" si="12"/>
        <v>0</v>
      </c>
      <c r="K171" s="100">
        <f t="shared" si="13"/>
        <v>0</v>
      </c>
      <c r="L171" s="88">
        <f>K171*係数!$H$30</f>
        <v>0</v>
      </c>
      <c r="M171" s="25"/>
      <c r="N171" s="6"/>
      <c r="O171" s="6"/>
      <c r="P171" s="137"/>
      <c r="Q171" s="6"/>
      <c r="R171" s="533">
        <f t="shared" si="14"/>
        <v>0</v>
      </c>
      <c r="S171" s="12">
        <f t="shared" si="15"/>
        <v>0</v>
      </c>
      <c r="T171" s="88">
        <f>S171*係数!$H$30</f>
        <v>0</v>
      </c>
      <c r="U171" s="12">
        <f t="shared" si="16"/>
        <v>0</v>
      </c>
      <c r="V171" s="545">
        <f>U171*係数!$C$30*0.0000258</f>
        <v>0</v>
      </c>
      <c r="W171" s="543">
        <f t="shared" si="17"/>
        <v>0</v>
      </c>
    </row>
    <row r="172" spans="2:23" x14ac:dyDescent="0.55000000000000004">
      <c r="B172" s="194" t="s">
        <v>641</v>
      </c>
      <c r="C172" s="25"/>
      <c r="D172" s="128"/>
      <c r="E172" s="6"/>
      <c r="F172" s="101"/>
      <c r="G172" s="101"/>
      <c r="H172" s="137"/>
      <c r="I172" s="6"/>
      <c r="J172" s="100">
        <f t="shared" si="12"/>
        <v>0</v>
      </c>
      <c r="K172" s="100">
        <f t="shared" si="13"/>
        <v>0</v>
      </c>
      <c r="L172" s="88">
        <f>K172*係数!$H$30</f>
        <v>0</v>
      </c>
      <c r="M172" s="25"/>
      <c r="N172" s="6"/>
      <c r="O172" s="6"/>
      <c r="P172" s="137"/>
      <c r="Q172" s="6"/>
      <c r="R172" s="533">
        <f t="shared" si="14"/>
        <v>0</v>
      </c>
      <c r="S172" s="12">
        <f t="shared" si="15"/>
        <v>0</v>
      </c>
      <c r="T172" s="88">
        <f>S172*係数!$H$30</f>
        <v>0</v>
      </c>
      <c r="U172" s="12">
        <f t="shared" si="16"/>
        <v>0</v>
      </c>
      <c r="V172" s="545">
        <f>U172*係数!$C$30*0.0000258</f>
        <v>0</v>
      </c>
      <c r="W172" s="543">
        <f t="shared" si="17"/>
        <v>0</v>
      </c>
    </row>
    <row r="173" spans="2:23" x14ac:dyDescent="0.55000000000000004">
      <c r="B173" s="194" t="s">
        <v>642</v>
      </c>
      <c r="C173" s="25"/>
      <c r="D173" s="128"/>
      <c r="E173" s="6"/>
      <c r="F173" s="101"/>
      <c r="G173" s="101"/>
      <c r="H173" s="137"/>
      <c r="I173" s="6"/>
      <c r="J173" s="100">
        <f t="shared" si="12"/>
        <v>0</v>
      </c>
      <c r="K173" s="100">
        <f t="shared" si="13"/>
        <v>0</v>
      </c>
      <c r="L173" s="88">
        <f>K173*係数!$H$30</f>
        <v>0</v>
      </c>
      <c r="M173" s="25"/>
      <c r="N173" s="6"/>
      <c r="O173" s="6"/>
      <c r="P173" s="137"/>
      <c r="Q173" s="6"/>
      <c r="R173" s="533">
        <f t="shared" si="14"/>
        <v>0</v>
      </c>
      <c r="S173" s="12">
        <f t="shared" si="15"/>
        <v>0</v>
      </c>
      <c r="T173" s="88">
        <f>S173*係数!$H$30</f>
        <v>0</v>
      </c>
      <c r="U173" s="12">
        <f t="shared" si="16"/>
        <v>0</v>
      </c>
      <c r="V173" s="545">
        <f>U173*係数!$C$30*0.0000258</f>
        <v>0</v>
      </c>
      <c r="W173" s="543">
        <f t="shared" si="17"/>
        <v>0</v>
      </c>
    </row>
    <row r="174" spans="2:23" x14ac:dyDescent="0.55000000000000004">
      <c r="B174" s="194" t="s">
        <v>643</v>
      </c>
      <c r="C174" s="25"/>
      <c r="D174" s="128"/>
      <c r="E174" s="6"/>
      <c r="F174" s="101"/>
      <c r="G174" s="101"/>
      <c r="H174" s="137"/>
      <c r="I174" s="6"/>
      <c r="J174" s="100">
        <f t="shared" si="12"/>
        <v>0</v>
      </c>
      <c r="K174" s="100">
        <f t="shared" si="13"/>
        <v>0</v>
      </c>
      <c r="L174" s="88">
        <f>K174*係数!$H$30</f>
        <v>0</v>
      </c>
      <c r="M174" s="25"/>
      <c r="N174" s="6"/>
      <c r="O174" s="6"/>
      <c r="P174" s="137"/>
      <c r="Q174" s="6"/>
      <c r="R174" s="533">
        <f t="shared" si="14"/>
        <v>0</v>
      </c>
      <c r="S174" s="12">
        <f t="shared" si="15"/>
        <v>0</v>
      </c>
      <c r="T174" s="88">
        <f>S174*係数!$H$30</f>
        <v>0</v>
      </c>
      <c r="U174" s="12">
        <f t="shared" si="16"/>
        <v>0</v>
      </c>
      <c r="V174" s="545">
        <f>U174*係数!$C$30*0.0000258</f>
        <v>0</v>
      </c>
      <c r="W174" s="543">
        <f t="shared" si="17"/>
        <v>0</v>
      </c>
    </row>
    <row r="175" spans="2:23" x14ac:dyDescent="0.55000000000000004">
      <c r="B175" s="194" t="s">
        <v>644</v>
      </c>
      <c r="C175" s="25"/>
      <c r="D175" s="128"/>
      <c r="E175" s="6"/>
      <c r="F175" s="101"/>
      <c r="G175" s="101"/>
      <c r="H175" s="137"/>
      <c r="I175" s="6"/>
      <c r="J175" s="100">
        <f t="shared" si="12"/>
        <v>0</v>
      </c>
      <c r="K175" s="100">
        <f t="shared" si="13"/>
        <v>0</v>
      </c>
      <c r="L175" s="88">
        <f>K175*係数!$H$30</f>
        <v>0</v>
      </c>
      <c r="M175" s="25"/>
      <c r="N175" s="6"/>
      <c r="O175" s="6"/>
      <c r="P175" s="137"/>
      <c r="Q175" s="6"/>
      <c r="R175" s="533">
        <f t="shared" si="14"/>
        <v>0</v>
      </c>
      <c r="S175" s="12">
        <f t="shared" si="15"/>
        <v>0</v>
      </c>
      <c r="T175" s="88">
        <f>S175*係数!$H$30</f>
        <v>0</v>
      </c>
      <c r="U175" s="12">
        <f t="shared" si="16"/>
        <v>0</v>
      </c>
      <c r="V175" s="545">
        <f>U175*係数!$C$30*0.0000258</f>
        <v>0</v>
      </c>
      <c r="W175" s="543">
        <f t="shared" si="17"/>
        <v>0</v>
      </c>
    </row>
    <row r="176" spans="2:23" x14ac:dyDescent="0.55000000000000004">
      <c r="B176" s="194" t="s">
        <v>645</v>
      </c>
      <c r="C176" s="25"/>
      <c r="D176" s="128"/>
      <c r="E176" s="6"/>
      <c r="F176" s="101"/>
      <c r="G176" s="101"/>
      <c r="H176" s="137"/>
      <c r="I176" s="6"/>
      <c r="J176" s="100">
        <f t="shared" si="12"/>
        <v>0</v>
      </c>
      <c r="K176" s="100">
        <f t="shared" si="13"/>
        <v>0</v>
      </c>
      <c r="L176" s="88">
        <f>K176*係数!$H$30</f>
        <v>0</v>
      </c>
      <c r="M176" s="25"/>
      <c r="N176" s="6"/>
      <c r="O176" s="6"/>
      <c r="P176" s="137"/>
      <c r="Q176" s="6"/>
      <c r="R176" s="533">
        <f t="shared" si="14"/>
        <v>0</v>
      </c>
      <c r="S176" s="12">
        <f t="shared" si="15"/>
        <v>0</v>
      </c>
      <c r="T176" s="88">
        <f>S176*係数!$H$30</f>
        <v>0</v>
      </c>
      <c r="U176" s="12">
        <f t="shared" si="16"/>
        <v>0</v>
      </c>
      <c r="V176" s="545">
        <f>U176*係数!$C$30*0.0000258</f>
        <v>0</v>
      </c>
      <c r="W176" s="543">
        <f t="shared" si="17"/>
        <v>0</v>
      </c>
    </row>
    <row r="177" spans="2:23" x14ac:dyDescent="0.55000000000000004">
      <c r="B177" s="194" t="s">
        <v>646</v>
      </c>
      <c r="C177" s="25"/>
      <c r="D177" s="128"/>
      <c r="E177" s="6"/>
      <c r="F177" s="101"/>
      <c r="G177" s="101"/>
      <c r="H177" s="137"/>
      <c r="I177" s="6"/>
      <c r="J177" s="100">
        <f t="shared" si="12"/>
        <v>0</v>
      </c>
      <c r="K177" s="100">
        <f t="shared" si="13"/>
        <v>0</v>
      </c>
      <c r="L177" s="88">
        <f>K177*係数!$H$30</f>
        <v>0</v>
      </c>
      <c r="M177" s="25"/>
      <c r="N177" s="6"/>
      <c r="O177" s="6"/>
      <c r="P177" s="137"/>
      <c r="Q177" s="6"/>
      <c r="R177" s="533">
        <f t="shared" si="14"/>
        <v>0</v>
      </c>
      <c r="S177" s="12">
        <f t="shared" si="15"/>
        <v>0</v>
      </c>
      <c r="T177" s="88">
        <f>S177*係数!$H$30</f>
        <v>0</v>
      </c>
      <c r="U177" s="12">
        <f t="shared" si="16"/>
        <v>0</v>
      </c>
      <c r="V177" s="545">
        <f>U177*係数!$C$30*0.0000258</f>
        <v>0</v>
      </c>
      <c r="W177" s="543">
        <f t="shared" si="17"/>
        <v>0</v>
      </c>
    </row>
    <row r="178" spans="2:23" x14ac:dyDescent="0.55000000000000004">
      <c r="B178" s="194" t="s">
        <v>647</v>
      </c>
      <c r="C178" s="25"/>
      <c r="D178" s="128"/>
      <c r="E178" s="6"/>
      <c r="F178" s="101"/>
      <c r="G178" s="101"/>
      <c r="H178" s="137"/>
      <c r="I178" s="6"/>
      <c r="J178" s="100">
        <f t="shared" si="12"/>
        <v>0</v>
      </c>
      <c r="K178" s="100">
        <f t="shared" si="13"/>
        <v>0</v>
      </c>
      <c r="L178" s="88">
        <f>K178*係数!$H$30</f>
        <v>0</v>
      </c>
      <c r="M178" s="25"/>
      <c r="N178" s="6"/>
      <c r="O178" s="6"/>
      <c r="P178" s="137"/>
      <c r="Q178" s="6"/>
      <c r="R178" s="533">
        <f t="shared" si="14"/>
        <v>0</v>
      </c>
      <c r="S178" s="12">
        <f t="shared" si="15"/>
        <v>0</v>
      </c>
      <c r="T178" s="88">
        <f>S178*係数!$H$30</f>
        <v>0</v>
      </c>
      <c r="U178" s="12">
        <f t="shared" si="16"/>
        <v>0</v>
      </c>
      <c r="V178" s="545">
        <f>U178*係数!$C$30*0.0000258</f>
        <v>0</v>
      </c>
      <c r="W178" s="543">
        <f t="shared" si="17"/>
        <v>0</v>
      </c>
    </row>
    <row r="179" spans="2:23" x14ac:dyDescent="0.55000000000000004">
      <c r="B179" s="194" t="s">
        <v>648</v>
      </c>
      <c r="C179" s="25"/>
      <c r="D179" s="128"/>
      <c r="E179" s="6"/>
      <c r="F179" s="101"/>
      <c r="G179" s="101"/>
      <c r="H179" s="137"/>
      <c r="I179" s="6"/>
      <c r="J179" s="100">
        <f t="shared" si="12"/>
        <v>0</v>
      </c>
      <c r="K179" s="100">
        <f t="shared" si="13"/>
        <v>0</v>
      </c>
      <c r="L179" s="88">
        <f>K179*係数!$H$30</f>
        <v>0</v>
      </c>
      <c r="M179" s="25"/>
      <c r="N179" s="6"/>
      <c r="O179" s="6"/>
      <c r="P179" s="137"/>
      <c r="Q179" s="6"/>
      <c r="R179" s="533">
        <f t="shared" si="14"/>
        <v>0</v>
      </c>
      <c r="S179" s="12">
        <f t="shared" si="15"/>
        <v>0</v>
      </c>
      <c r="T179" s="88">
        <f>S179*係数!$H$30</f>
        <v>0</v>
      </c>
      <c r="U179" s="12">
        <f t="shared" si="16"/>
        <v>0</v>
      </c>
      <c r="V179" s="545">
        <f>U179*係数!$C$30*0.0000258</f>
        <v>0</v>
      </c>
      <c r="W179" s="543">
        <f t="shared" si="17"/>
        <v>0</v>
      </c>
    </row>
    <row r="180" spans="2:23" x14ac:dyDescent="0.55000000000000004">
      <c r="B180" s="194" t="s">
        <v>649</v>
      </c>
      <c r="C180" s="25"/>
      <c r="D180" s="128"/>
      <c r="E180" s="6"/>
      <c r="F180" s="101"/>
      <c r="G180" s="101"/>
      <c r="H180" s="137"/>
      <c r="I180" s="6"/>
      <c r="J180" s="100">
        <f t="shared" si="12"/>
        <v>0</v>
      </c>
      <c r="K180" s="100">
        <f t="shared" si="13"/>
        <v>0</v>
      </c>
      <c r="L180" s="88">
        <f>K180*係数!$H$30</f>
        <v>0</v>
      </c>
      <c r="M180" s="25"/>
      <c r="N180" s="6"/>
      <c r="O180" s="6"/>
      <c r="P180" s="137"/>
      <c r="Q180" s="6"/>
      <c r="R180" s="533">
        <f t="shared" si="14"/>
        <v>0</v>
      </c>
      <c r="S180" s="12">
        <f t="shared" si="15"/>
        <v>0</v>
      </c>
      <c r="T180" s="88">
        <f>S180*係数!$H$30</f>
        <v>0</v>
      </c>
      <c r="U180" s="12">
        <f t="shared" si="16"/>
        <v>0</v>
      </c>
      <c r="V180" s="545">
        <f>U180*係数!$C$30*0.0000258</f>
        <v>0</v>
      </c>
      <c r="W180" s="543">
        <f t="shared" si="17"/>
        <v>0</v>
      </c>
    </row>
    <row r="181" spans="2:23" x14ac:dyDescent="0.55000000000000004">
      <c r="B181" s="194" t="s">
        <v>650</v>
      </c>
      <c r="C181" s="25"/>
      <c r="D181" s="128"/>
      <c r="E181" s="6"/>
      <c r="F181" s="101"/>
      <c r="G181" s="101"/>
      <c r="H181" s="137"/>
      <c r="I181" s="6"/>
      <c r="J181" s="100">
        <f t="shared" si="12"/>
        <v>0</v>
      </c>
      <c r="K181" s="100">
        <f t="shared" si="13"/>
        <v>0</v>
      </c>
      <c r="L181" s="88">
        <f>K181*係数!$H$30</f>
        <v>0</v>
      </c>
      <c r="M181" s="25"/>
      <c r="N181" s="6"/>
      <c r="O181" s="6"/>
      <c r="P181" s="137"/>
      <c r="Q181" s="6"/>
      <c r="R181" s="533">
        <f t="shared" si="14"/>
        <v>0</v>
      </c>
      <c r="S181" s="12">
        <f t="shared" si="15"/>
        <v>0</v>
      </c>
      <c r="T181" s="88">
        <f>S181*係数!$H$30</f>
        <v>0</v>
      </c>
      <c r="U181" s="12">
        <f t="shared" si="16"/>
        <v>0</v>
      </c>
      <c r="V181" s="545">
        <f>U181*係数!$C$30*0.0000258</f>
        <v>0</v>
      </c>
      <c r="W181" s="543">
        <f t="shared" si="17"/>
        <v>0</v>
      </c>
    </row>
    <row r="182" spans="2:23" x14ac:dyDescent="0.55000000000000004">
      <c r="B182" s="194" t="s">
        <v>651</v>
      </c>
      <c r="C182" s="25"/>
      <c r="D182" s="128"/>
      <c r="E182" s="6"/>
      <c r="F182" s="101"/>
      <c r="G182" s="101"/>
      <c r="H182" s="137"/>
      <c r="I182" s="6"/>
      <c r="J182" s="100">
        <f t="shared" si="12"/>
        <v>0</v>
      </c>
      <c r="K182" s="100">
        <f t="shared" si="13"/>
        <v>0</v>
      </c>
      <c r="L182" s="88">
        <f>K182*係数!$H$30</f>
        <v>0</v>
      </c>
      <c r="M182" s="25"/>
      <c r="N182" s="6"/>
      <c r="O182" s="6"/>
      <c r="P182" s="137"/>
      <c r="Q182" s="6"/>
      <c r="R182" s="533">
        <f t="shared" si="14"/>
        <v>0</v>
      </c>
      <c r="S182" s="12">
        <f t="shared" si="15"/>
        <v>0</v>
      </c>
      <c r="T182" s="88">
        <f>S182*係数!$H$30</f>
        <v>0</v>
      </c>
      <c r="U182" s="12">
        <f t="shared" si="16"/>
        <v>0</v>
      </c>
      <c r="V182" s="545">
        <f>U182*係数!$C$30*0.0000258</f>
        <v>0</v>
      </c>
      <c r="W182" s="543">
        <f t="shared" si="17"/>
        <v>0</v>
      </c>
    </row>
    <row r="183" spans="2:23" x14ac:dyDescent="0.55000000000000004">
      <c r="B183" s="194" t="s">
        <v>652</v>
      </c>
      <c r="C183" s="25"/>
      <c r="D183" s="128"/>
      <c r="E183" s="6"/>
      <c r="F183" s="101"/>
      <c r="G183" s="101"/>
      <c r="H183" s="137"/>
      <c r="I183" s="6"/>
      <c r="J183" s="100">
        <f t="shared" si="12"/>
        <v>0</v>
      </c>
      <c r="K183" s="100">
        <f t="shared" si="13"/>
        <v>0</v>
      </c>
      <c r="L183" s="88">
        <f>K183*係数!$H$30</f>
        <v>0</v>
      </c>
      <c r="M183" s="25"/>
      <c r="N183" s="6"/>
      <c r="O183" s="6"/>
      <c r="P183" s="137"/>
      <c r="Q183" s="6"/>
      <c r="R183" s="533">
        <f t="shared" si="14"/>
        <v>0</v>
      </c>
      <c r="S183" s="12">
        <f t="shared" si="15"/>
        <v>0</v>
      </c>
      <c r="T183" s="88">
        <f>S183*係数!$H$30</f>
        <v>0</v>
      </c>
      <c r="U183" s="12">
        <f t="shared" si="16"/>
        <v>0</v>
      </c>
      <c r="V183" s="545">
        <f>U183*係数!$C$30*0.0000258</f>
        <v>0</v>
      </c>
      <c r="W183" s="543">
        <f t="shared" si="17"/>
        <v>0</v>
      </c>
    </row>
    <row r="184" spans="2:23" x14ac:dyDescent="0.55000000000000004">
      <c r="B184" s="194" t="s">
        <v>653</v>
      </c>
      <c r="C184" s="25"/>
      <c r="D184" s="128"/>
      <c r="E184" s="6"/>
      <c r="F184" s="101"/>
      <c r="G184" s="101"/>
      <c r="H184" s="137"/>
      <c r="I184" s="6"/>
      <c r="J184" s="100">
        <f t="shared" si="12"/>
        <v>0</v>
      </c>
      <c r="K184" s="100">
        <f t="shared" si="13"/>
        <v>0</v>
      </c>
      <c r="L184" s="88">
        <f>K184*係数!$H$30</f>
        <v>0</v>
      </c>
      <c r="M184" s="25"/>
      <c r="N184" s="6"/>
      <c r="O184" s="6"/>
      <c r="P184" s="137"/>
      <c r="Q184" s="6"/>
      <c r="R184" s="533">
        <f t="shared" si="14"/>
        <v>0</v>
      </c>
      <c r="S184" s="12">
        <f t="shared" si="15"/>
        <v>0</v>
      </c>
      <c r="T184" s="88">
        <f>S184*係数!$H$30</f>
        <v>0</v>
      </c>
      <c r="U184" s="12">
        <f t="shared" si="16"/>
        <v>0</v>
      </c>
      <c r="V184" s="545">
        <f>U184*係数!$C$30*0.0000258</f>
        <v>0</v>
      </c>
      <c r="W184" s="543">
        <f t="shared" si="17"/>
        <v>0</v>
      </c>
    </row>
    <row r="185" spans="2:23" x14ac:dyDescent="0.55000000000000004">
      <c r="B185" s="194" t="s">
        <v>654</v>
      </c>
      <c r="C185" s="25"/>
      <c r="D185" s="128"/>
      <c r="E185" s="6"/>
      <c r="F185" s="101"/>
      <c r="G185" s="101"/>
      <c r="H185" s="137"/>
      <c r="I185" s="6"/>
      <c r="J185" s="100">
        <f t="shared" si="12"/>
        <v>0</v>
      </c>
      <c r="K185" s="100">
        <f t="shared" si="13"/>
        <v>0</v>
      </c>
      <c r="L185" s="88">
        <f>K185*係数!$H$30</f>
        <v>0</v>
      </c>
      <c r="M185" s="25"/>
      <c r="N185" s="6"/>
      <c r="O185" s="6"/>
      <c r="P185" s="137"/>
      <c r="Q185" s="6"/>
      <c r="R185" s="533">
        <f t="shared" si="14"/>
        <v>0</v>
      </c>
      <c r="S185" s="12">
        <f t="shared" si="15"/>
        <v>0</v>
      </c>
      <c r="T185" s="88">
        <f>S185*係数!$H$30</f>
        <v>0</v>
      </c>
      <c r="U185" s="12">
        <f t="shared" si="16"/>
        <v>0</v>
      </c>
      <c r="V185" s="545">
        <f>U185*係数!$C$30*0.0000258</f>
        <v>0</v>
      </c>
      <c r="W185" s="543">
        <f t="shared" si="17"/>
        <v>0</v>
      </c>
    </row>
    <row r="186" spans="2:23" x14ac:dyDescent="0.55000000000000004">
      <c r="B186" s="194" t="s">
        <v>655</v>
      </c>
      <c r="C186" s="25"/>
      <c r="D186" s="128"/>
      <c r="E186" s="6"/>
      <c r="F186" s="101"/>
      <c r="G186" s="101"/>
      <c r="H186" s="137"/>
      <c r="I186" s="6"/>
      <c r="J186" s="100">
        <f t="shared" si="12"/>
        <v>0</v>
      </c>
      <c r="K186" s="100">
        <f t="shared" si="13"/>
        <v>0</v>
      </c>
      <c r="L186" s="88">
        <f>K186*係数!$H$30</f>
        <v>0</v>
      </c>
      <c r="M186" s="25"/>
      <c r="N186" s="6"/>
      <c r="O186" s="6"/>
      <c r="P186" s="137"/>
      <c r="Q186" s="6"/>
      <c r="R186" s="533">
        <f t="shared" si="14"/>
        <v>0</v>
      </c>
      <c r="S186" s="12">
        <f t="shared" si="15"/>
        <v>0</v>
      </c>
      <c r="T186" s="88">
        <f>S186*係数!$H$30</f>
        <v>0</v>
      </c>
      <c r="U186" s="12">
        <f t="shared" si="16"/>
        <v>0</v>
      </c>
      <c r="V186" s="545">
        <f>U186*係数!$C$30*0.0000258</f>
        <v>0</v>
      </c>
      <c r="W186" s="543">
        <f t="shared" si="17"/>
        <v>0</v>
      </c>
    </row>
    <row r="187" spans="2:23" x14ac:dyDescent="0.55000000000000004">
      <c r="B187" s="194" t="s">
        <v>656</v>
      </c>
      <c r="C187" s="25"/>
      <c r="D187" s="128"/>
      <c r="E187" s="6"/>
      <c r="F187" s="101"/>
      <c r="G187" s="101"/>
      <c r="H187" s="137"/>
      <c r="I187" s="6"/>
      <c r="J187" s="100">
        <f t="shared" si="12"/>
        <v>0</v>
      </c>
      <c r="K187" s="100">
        <f t="shared" si="13"/>
        <v>0</v>
      </c>
      <c r="L187" s="88">
        <f>K187*係数!$H$30</f>
        <v>0</v>
      </c>
      <c r="M187" s="25"/>
      <c r="N187" s="6"/>
      <c r="O187" s="6"/>
      <c r="P187" s="137"/>
      <c r="Q187" s="6"/>
      <c r="R187" s="533">
        <f t="shared" si="14"/>
        <v>0</v>
      </c>
      <c r="S187" s="12">
        <f t="shared" si="15"/>
        <v>0</v>
      </c>
      <c r="T187" s="88">
        <f>S187*係数!$H$30</f>
        <v>0</v>
      </c>
      <c r="U187" s="12">
        <f t="shared" si="16"/>
        <v>0</v>
      </c>
      <c r="V187" s="545">
        <f>U187*係数!$C$30*0.0000258</f>
        <v>0</v>
      </c>
      <c r="W187" s="543">
        <f t="shared" si="17"/>
        <v>0</v>
      </c>
    </row>
    <row r="188" spans="2:23" x14ac:dyDescent="0.55000000000000004">
      <c r="B188" s="194" t="s">
        <v>657</v>
      </c>
      <c r="C188" s="25"/>
      <c r="D188" s="128"/>
      <c r="E188" s="6"/>
      <c r="F188" s="101"/>
      <c r="G188" s="101"/>
      <c r="H188" s="137"/>
      <c r="I188" s="6"/>
      <c r="J188" s="100">
        <f t="shared" si="12"/>
        <v>0</v>
      </c>
      <c r="K188" s="100">
        <f t="shared" si="13"/>
        <v>0</v>
      </c>
      <c r="L188" s="88">
        <f>K188*係数!$H$30</f>
        <v>0</v>
      </c>
      <c r="M188" s="25"/>
      <c r="N188" s="6"/>
      <c r="O188" s="6"/>
      <c r="P188" s="137"/>
      <c r="Q188" s="6"/>
      <c r="R188" s="533">
        <f t="shared" si="14"/>
        <v>0</v>
      </c>
      <c r="S188" s="12">
        <f t="shared" si="15"/>
        <v>0</v>
      </c>
      <c r="T188" s="88">
        <f>S188*係数!$H$30</f>
        <v>0</v>
      </c>
      <c r="U188" s="12">
        <f t="shared" si="16"/>
        <v>0</v>
      </c>
      <c r="V188" s="545">
        <f>U188*係数!$C$30*0.0000258</f>
        <v>0</v>
      </c>
      <c r="W188" s="543">
        <f t="shared" si="17"/>
        <v>0</v>
      </c>
    </row>
    <row r="189" spans="2:23" x14ac:dyDescent="0.55000000000000004">
      <c r="B189" s="194" t="s">
        <v>658</v>
      </c>
      <c r="C189" s="25"/>
      <c r="D189" s="128"/>
      <c r="E189" s="6"/>
      <c r="F189" s="101"/>
      <c r="G189" s="101"/>
      <c r="H189" s="137"/>
      <c r="I189" s="6"/>
      <c r="J189" s="100">
        <f t="shared" si="12"/>
        <v>0</v>
      </c>
      <c r="K189" s="100">
        <f t="shared" si="13"/>
        <v>0</v>
      </c>
      <c r="L189" s="88">
        <f>K189*係数!$H$30</f>
        <v>0</v>
      </c>
      <c r="M189" s="25"/>
      <c r="N189" s="6"/>
      <c r="O189" s="6"/>
      <c r="P189" s="137"/>
      <c r="Q189" s="6"/>
      <c r="R189" s="533">
        <f t="shared" si="14"/>
        <v>0</v>
      </c>
      <c r="S189" s="12">
        <f t="shared" si="15"/>
        <v>0</v>
      </c>
      <c r="T189" s="88">
        <f>S189*係数!$H$30</f>
        <v>0</v>
      </c>
      <c r="U189" s="12">
        <f t="shared" si="16"/>
        <v>0</v>
      </c>
      <c r="V189" s="545">
        <f>U189*係数!$C$30*0.0000258</f>
        <v>0</v>
      </c>
      <c r="W189" s="543">
        <f t="shared" si="17"/>
        <v>0</v>
      </c>
    </row>
    <row r="190" spans="2:23" x14ac:dyDescent="0.55000000000000004">
      <c r="B190" s="194" t="s">
        <v>659</v>
      </c>
      <c r="C190" s="25"/>
      <c r="D190" s="128"/>
      <c r="E190" s="6"/>
      <c r="F190" s="101"/>
      <c r="G190" s="101"/>
      <c r="H190" s="137"/>
      <c r="I190" s="6"/>
      <c r="J190" s="100">
        <f t="shared" si="12"/>
        <v>0</v>
      </c>
      <c r="K190" s="100">
        <f t="shared" si="13"/>
        <v>0</v>
      </c>
      <c r="L190" s="88">
        <f>K190*係数!$H$30</f>
        <v>0</v>
      </c>
      <c r="M190" s="25"/>
      <c r="N190" s="6"/>
      <c r="O190" s="6"/>
      <c r="P190" s="137"/>
      <c r="Q190" s="6"/>
      <c r="R190" s="533">
        <f t="shared" si="14"/>
        <v>0</v>
      </c>
      <c r="S190" s="12">
        <f t="shared" si="15"/>
        <v>0</v>
      </c>
      <c r="T190" s="88">
        <f>S190*係数!$H$30</f>
        <v>0</v>
      </c>
      <c r="U190" s="12">
        <f t="shared" si="16"/>
        <v>0</v>
      </c>
      <c r="V190" s="545">
        <f>U190*係数!$C$30*0.0000258</f>
        <v>0</v>
      </c>
      <c r="W190" s="543">
        <f t="shared" si="17"/>
        <v>0</v>
      </c>
    </row>
    <row r="191" spans="2:23" x14ac:dyDescent="0.55000000000000004">
      <c r="B191" s="194" t="s">
        <v>660</v>
      </c>
      <c r="C191" s="25"/>
      <c r="D191" s="128"/>
      <c r="E191" s="6"/>
      <c r="F191" s="101"/>
      <c r="G191" s="101"/>
      <c r="H191" s="137"/>
      <c r="I191" s="6"/>
      <c r="J191" s="100">
        <f t="shared" si="12"/>
        <v>0</v>
      </c>
      <c r="K191" s="100">
        <f t="shared" si="13"/>
        <v>0</v>
      </c>
      <c r="L191" s="88">
        <f>K191*係数!$H$30</f>
        <v>0</v>
      </c>
      <c r="M191" s="25"/>
      <c r="N191" s="6"/>
      <c r="O191" s="6"/>
      <c r="P191" s="137"/>
      <c r="Q191" s="6"/>
      <c r="R191" s="533">
        <f t="shared" si="14"/>
        <v>0</v>
      </c>
      <c r="S191" s="12">
        <f t="shared" si="15"/>
        <v>0</v>
      </c>
      <c r="T191" s="88">
        <f>S191*係数!$H$30</f>
        <v>0</v>
      </c>
      <c r="U191" s="12">
        <f t="shared" si="16"/>
        <v>0</v>
      </c>
      <c r="V191" s="545">
        <f>U191*係数!$C$30*0.0000258</f>
        <v>0</v>
      </c>
      <c r="W191" s="543">
        <f t="shared" si="17"/>
        <v>0</v>
      </c>
    </row>
    <row r="192" spans="2:23" x14ac:dyDescent="0.55000000000000004">
      <c r="B192" s="194" t="s">
        <v>661</v>
      </c>
      <c r="C192" s="25"/>
      <c r="D192" s="128"/>
      <c r="E192" s="6"/>
      <c r="F192" s="101"/>
      <c r="G192" s="101"/>
      <c r="H192" s="137"/>
      <c r="I192" s="6"/>
      <c r="J192" s="100">
        <f t="shared" si="12"/>
        <v>0</v>
      </c>
      <c r="K192" s="100">
        <f t="shared" si="13"/>
        <v>0</v>
      </c>
      <c r="L192" s="88">
        <f>K192*係数!$H$30</f>
        <v>0</v>
      </c>
      <c r="M192" s="25"/>
      <c r="N192" s="6"/>
      <c r="O192" s="6"/>
      <c r="P192" s="137"/>
      <c r="Q192" s="6"/>
      <c r="R192" s="533">
        <f t="shared" si="14"/>
        <v>0</v>
      </c>
      <c r="S192" s="12">
        <f t="shared" si="15"/>
        <v>0</v>
      </c>
      <c r="T192" s="88">
        <f>S192*係数!$H$30</f>
        <v>0</v>
      </c>
      <c r="U192" s="12">
        <f t="shared" si="16"/>
        <v>0</v>
      </c>
      <c r="V192" s="545">
        <f>U192*係数!$C$30*0.0000258</f>
        <v>0</v>
      </c>
      <c r="W192" s="543">
        <f t="shared" si="17"/>
        <v>0</v>
      </c>
    </row>
    <row r="193" spans="2:23" x14ac:dyDescent="0.55000000000000004">
      <c r="B193" s="194" t="s">
        <v>662</v>
      </c>
      <c r="C193" s="25"/>
      <c r="D193" s="128"/>
      <c r="E193" s="6"/>
      <c r="F193" s="101"/>
      <c r="G193" s="101"/>
      <c r="H193" s="137"/>
      <c r="I193" s="6"/>
      <c r="J193" s="100">
        <f t="shared" si="12"/>
        <v>0</v>
      </c>
      <c r="K193" s="100">
        <f t="shared" si="13"/>
        <v>0</v>
      </c>
      <c r="L193" s="88">
        <f>K193*係数!$H$30</f>
        <v>0</v>
      </c>
      <c r="M193" s="25"/>
      <c r="N193" s="6"/>
      <c r="O193" s="6"/>
      <c r="P193" s="137"/>
      <c r="Q193" s="6"/>
      <c r="R193" s="533">
        <f t="shared" si="14"/>
        <v>0</v>
      </c>
      <c r="S193" s="12">
        <f t="shared" si="15"/>
        <v>0</v>
      </c>
      <c r="T193" s="88">
        <f>S193*係数!$H$30</f>
        <v>0</v>
      </c>
      <c r="U193" s="12">
        <f t="shared" si="16"/>
        <v>0</v>
      </c>
      <c r="V193" s="545">
        <f>U193*係数!$C$30*0.0000258</f>
        <v>0</v>
      </c>
      <c r="W193" s="543">
        <f t="shared" si="17"/>
        <v>0</v>
      </c>
    </row>
    <row r="194" spans="2:23" x14ac:dyDescent="0.55000000000000004">
      <c r="B194" s="194" t="s">
        <v>663</v>
      </c>
      <c r="C194" s="25"/>
      <c r="D194" s="128"/>
      <c r="E194" s="6"/>
      <c r="F194" s="101"/>
      <c r="G194" s="101"/>
      <c r="H194" s="137"/>
      <c r="I194" s="6"/>
      <c r="J194" s="100">
        <f t="shared" si="12"/>
        <v>0</v>
      </c>
      <c r="K194" s="100">
        <f t="shared" si="13"/>
        <v>0</v>
      </c>
      <c r="L194" s="88">
        <f>K194*係数!$H$30</f>
        <v>0</v>
      </c>
      <c r="M194" s="25"/>
      <c r="N194" s="6"/>
      <c r="O194" s="6"/>
      <c r="P194" s="137"/>
      <c r="Q194" s="6"/>
      <c r="R194" s="533">
        <f t="shared" si="14"/>
        <v>0</v>
      </c>
      <c r="S194" s="12">
        <f t="shared" si="15"/>
        <v>0</v>
      </c>
      <c r="T194" s="88">
        <f>S194*係数!$H$30</f>
        <v>0</v>
      </c>
      <c r="U194" s="12">
        <f t="shared" si="16"/>
        <v>0</v>
      </c>
      <c r="V194" s="545">
        <f>U194*係数!$C$30*0.0000258</f>
        <v>0</v>
      </c>
      <c r="W194" s="543">
        <f t="shared" si="17"/>
        <v>0</v>
      </c>
    </row>
    <row r="195" spans="2:23" x14ac:dyDescent="0.55000000000000004">
      <c r="B195" s="194" t="s">
        <v>664</v>
      </c>
      <c r="C195" s="25"/>
      <c r="D195" s="128"/>
      <c r="E195" s="6"/>
      <c r="F195" s="101"/>
      <c r="G195" s="101"/>
      <c r="H195" s="137"/>
      <c r="I195" s="6"/>
      <c r="J195" s="100">
        <f t="shared" si="12"/>
        <v>0</v>
      </c>
      <c r="K195" s="100">
        <f t="shared" si="13"/>
        <v>0</v>
      </c>
      <c r="L195" s="88">
        <f>K195*係数!$H$30</f>
        <v>0</v>
      </c>
      <c r="M195" s="25"/>
      <c r="N195" s="6"/>
      <c r="O195" s="6"/>
      <c r="P195" s="137"/>
      <c r="Q195" s="6"/>
      <c r="R195" s="533">
        <f t="shared" si="14"/>
        <v>0</v>
      </c>
      <c r="S195" s="12">
        <f t="shared" si="15"/>
        <v>0</v>
      </c>
      <c r="T195" s="88">
        <f>S195*係数!$H$30</f>
        <v>0</v>
      </c>
      <c r="U195" s="12">
        <f t="shared" si="16"/>
        <v>0</v>
      </c>
      <c r="V195" s="545">
        <f>U195*係数!$C$30*0.0000258</f>
        <v>0</v>
      </c>
      <c r="W195" s="543">
        <f t="shared" si="17"/>
        <v>0</v>
      </c>
    </row>
    <row r="196" spans="2:23" x14ac:dyDescent="0.55000000000000004">
      <c r="B196" s="194" t="s">
        <v>665</v>
      </c>
      <c r="C196" s="25"/>
      <c r="D196" s="128"/>
      <c r="E196" s="6"/>
      <c r="F196" s="101"/>
      <c r="G196" s="101"/>
      <c r="H196" s="137"/>
      <c r="I196" s="6"/>
      <c r="J196" s="100">
        <f t="shared" ref="J196:J259" si="18">IF(H196="",F196*G196,F196*G196*I196/100)</f>
        <v>0</v>
      </c>
      <c r="K196" s="100">
        <f t="shared" ref="K196:K259" si="19">D196*E196*J196/1000</f>
        <v>0</v>
      </c>
      <c r="L196" s="88">
        <f>K196*係数!$H$30</f>
        <v>0</v>
      </c>
      <c r="M196" s="25"/>
      <c r="N196" s="6"/>
      <c r="O196" s="6"/>
      <c r="P196" s="137"/>
      <c r="Q196" s="6"/>
      <c r="R196" s="533">
        <f t="shared" si="14"/>
        <v>0</v>
      </c>
      <c r="S196" s="12">
        <f t="shared" si="15"/>
        <v>0</v>
      </c>
      <c r="T196" s="88">
        <f>S196*係数!$H$30</f>
        <v>0</v>
      </c>
      <c r="U196" s="12">
        <f t="shared" si="16"/>
        <v>0</v>
      </c>
      <c r="V196" s="545">
        <f>U196*係数!$C$30*0.0000258</f>
        <v>0</v>
      </c>
      <c r="W196" s="543">
        <f t="shared" si="17"/>
        <v>0</v>
      </c>
    </row>
    <row r="197" spans="2:23" x14ac:dyDescent="0.55000000000000004">
      <c r="B197" s="194" t="s">
        <v>666</v>
      </c>
      <c r="C197" s="25"/>
      <c r="D197" s="128"/>
      <c r="E197" s="6"/>
      <c r="F197" s="101"/>
      <c r="G197" s="101"/>
      <c r="H197" s="137"/>
      <c r="I197" s="6"/>
      <c r="J197" s="100">
        <f t="shared" si="18"/>
        <v>0</v>
      </c>
      <c r="K197" s="100">
        <f t="shared" si="19"/>
        <v>0</v>
      </c>
      <c r="L197" s="88">
        <f>K197*係数!$H$30</f>
        <v>0</v>
      </c>
      <c r="M197" s="25"/>
      <c r="N197" s="6"/>
      <c r="O197" s="6"/>
      <c r="P197" s="137"/>
      <c r="Q197" s="6"/>
      <c r="R197" s="533">
        <f t="shared" si="14"/>
        <v>0</v>
      </c>
      <c r="S197" s="12">
        <f t="shared" si="15"/>
        <v>0</v>
      </c>
      <c r="T197" s="88">
        <f>S197*係数!$H$30</f>
        <v>0</v>
      </c>
      <c r="U197" s="12">
        <f t="shared" si="16"/>
        <v>0</v>
      </c>
      <c r="V197" s="545">
        <f>U197*係数!$C$30*0.0000258</f>
        <v>0</v>
      </c>
      <c r="W197" s="543">
        <f t="shared" si="17"/>
        <v>0</v>
      </c>
    </row>
    <row r="198" spans="2:23" x14ac:dyDescent="0.55000000000000004">
      <c r="B198" s="194" t="s">
        <v>667</v>
      </c>
      <c r="C198" s="25"/>
      <c r="D198" s="128"/>
      <c r="E198" s="6"/>
      <c r="F198" s="101"/>
      <c r="G198" s="101"/>
      <c r="H198" s="137"/>
      <c r="I198" s="6"/>
      <c r="J198" s="100">
        <f t="shared" si="18"/>
        <v>0</v>
      </c>
      <c r="K198" s="100">
        <f t="shared" si="19"/>
        <v>0</v>
      </c>
      <c r="L198" s="88">
        <f>K198*係数!$H$30</f>
        <v>0</v>
      </c>
      <c r="M198" s="25"/>
      <c r="N198" s="6"/>
      <c r="O198" s="6"/>
      <c r="P198" s="137"/>
      <c r="Q198" s="6"/>
      <c r="R198" s="533">
        <f t="shared" si="14"/>
        <v>0</v>
      </c>
      <c r="S198" s="12">
        <f t="shared" si="15"/>
        <v>0</v>
      </c>
      <c r="T198" s="88">
        <f>S198*係数!$H$30</f>
        <v>0</v>
      </c>
      <c r="U198" s="12">
        <f t="shared" si="16"/>
        <v>0</v>
      </c>
      <c r="V198" s="545">
        <f>U198*係数!$C$30*0.0000258</f>
        <v>0</v>
      </c>
      <c r="W198" s="543">
        <f t="shared" si="17"/>
        <v>0</v>
      </c>
    </row>
    <row r="199" spans="2:23" x14ac:dyDescent="0.55000000000000004">
      <c r="B199" s="194" t="s">
        <v>668</v>
      </c>
      <c r="C199" s="25"/>
      <c r="D199" s="128"/>
      <c r="E199" s="6"/>
      <c r="F199" s="101"/>
      <c r="G199" s="101"/>
      <c r="H199" s="137"/>
      <c r="I199" s="6"/>
      <c r="J199" s="100">
        <f t="shared" si="18"/>
        <v>0</v>
      </c>
      <c r="K199" s="100">
        <f t="shared" si="19"/>
        <v>0</v>
      </c>
      <c r="L199" s="88">
        <f>K199*係数!$H$30</f>
        <v>0</v>
      </c>
      <c r="M199" s="25"/>
      <c r="N199" s="6"/>
      <c r="O199" s="6"/>
      <c r="P199" s="137"/>
      <c r="Q199" s="6"/>
      <c r="R199" s="533">
        <f t="shared" si="14"/>
        <v>0</v>
      </c>
      <c r="S199" s="12">
        <f t="shared" si="15"/>
        <v>0</v>
      </c>
      <c r="T199" s="88">
        <f>S199*係数!$H$30</f>
        <v>0</v>
      </c>
      <c r="U199" s="12">
        <f t="shared" si="16"/>
        <v>0</v>
      </c>
      <c r="V199" s="545">
        <f>U199*係数!$C$30*0.0000258</f>
        <v>0</v>
      </c>
      <c r="W199" s="543">
        <f t="shared" si="17"/>
        <v>0</v>
      </c>
    </row>
    <row r="200" spans="2:23" x14ac:dyDescent="0.55000000000000004">
      <c r="B200" s="194" t="s">
        <v>669</v>
      </c>
      <c r="C200" s="25"/>
      <c r="D200" s="128"/>
      <c r="E200" s="6"/>
      <c r="F200" s="101"/>
      <c r="G200" s="101"/>
      <c r="H200" s="137"/>
      <c r="I200" s="6"/>
      <c r="J200" s="100">
        <f t="shared" si="18"/>
        <v>0</v>
      </c>
      <c r="K200" s="100">
        <f t="shared" si="19"/>
        <v>0</v>
      </c>
      <c r="L200" s="88">
        <f>K200*係数!$H$30</f>
        <v>0</v>
      </c>
      <c r="M200" s="25"/>
      <c r="N200" s="6"/>
      <c r="O200" s="6"/>
      <c r="P200" s="137"/>
      <c r="Q200" s="6"/>
      <c r="R200" s="533">
        <f t="shared" si="14"/>
        <v>0</v>
      </c>
      <c r="S200" s="12">
        <f t="shared" si="15"/>
        <v>0</v>
      </c>
      <c r="T200" s="88">
        <f>S200*係数!$H$30</f>
        <v>0</v>
      </c>
      <c r="U200" s="12">
        <f t="shared" si="16"/>
        <v>0</v>
      </c>
      <c r="V200" s="545">
        <f>U200*係数!$C$30*0.0000258</f>
        <v>0</v>
      </c>
      <c r="W200" s="543">
        <f t="shared" si="17"/>
        <v>0</v>
      </c>
    </row>
    <row r="201" spans="2:23" x14ac:dyDescent="0.55000000000000004">
      <c r="B201" s="194" t="s">
        <v>670</v>
      </c>
      <c r="C201" s="25"/>
      <c r="D201" s="128"/>
      <c r="E201" s="6"/>
      <c r="F201" s="101"/>
      <c r="G201" s="101"/>
      <c r="H201" s="137"/>
      <c r="I201" s="6"/>
      <c r="J201" s="100">
        <f t="shared" si="18"/>
        <v>0</v>
      </c>
      <c r="K201" s="100">
        <f t="shared" si="19"/>
        <v>0</v>
      </c>
      <c r="L201" s="88">
        <f>K201*係数!$H$30</f>
        <v>0</v>
      </c>
      <c r="M201" s="25"/>
      <c r="N201" s="6"/>
      <c r="O201" s="6"/>
      <c r="P201" s="137"/>
      <c r="Q201" s="6"/>
      <c r="R201" s="533">
        <f t="shared" si="14"/>
        <v>0</v>
      </c>
      <c r="S201" s="12">
        <f t="shared" si="15"/>
        <v>0</v>
      </c>
      <c r="T201" s="88">
        <f>S201*係数!$H$30</f>
        <v>0</v>
      </c>
      <c r="U201" s="12">
        <f t="shared" si="16"/>
        <v>0</v>
      </c>
      <c r="V201" s="545">
        <f>U201*係数!$C$30*0.0000258</f>
        <v>0</v>
      </c>
      <c r="W201" s="543">
        <f t="shared" si="17"/>
        <v>0</v>
      </c>
    </row>
    <row r="202" spans="2:23" x14ac:dyDescent="0.55000000000000004">
      <c r="B202" s="194" t="s">
        <v>671</v>
      </c>
      <c r="C202" s="25"/>
      <c r="D202" s="128"/>
      <c r="E202" s="6"/>
      <c r="F202" s="101"/>
      <c r="G202" s="101"/>
      <c r="H202" s="137"/>
      <c r="I202" s="6"/>
      <c r="J202" s="100">
        <f t="shared" si="18"/>
        <v>0</v>
      </c>
      <c r="K202" s="100">
        <f t="shared" si="19"/>
        <v>0</v>
      </c>
      <c r="L202" s="88">
        <f>K202*係数!$H$30</f>
        <v>0</v>
      </c>
      <c r="M202" s="25"/>
      <c r="N202" s="6"/>
      <c r="O202" s="6"/>
      <c r="P202" s="137"/>
      <c r="Q202" s="6"/>
      <c r="R202" s="533">
        <f t="shared" si="14"/>
        <v>0</v>
      </c>
      <c r="S202" s="12">
        <f t="shared" si="15"/>
        <v>0</v>
      </c>
      <c r="T202" s="88">
        <f>S202*係数!$H$30</f>
        <v>0</v>
      </c>
      <c r="U202" s="12">
        <f t="shared" si="16"/>
        <v>0</v>
      </c>
      <c r="V202" s="545">
        <f>U202*係数!$C$30*0.0000258</f>
        <v>0</v>
      </c>
      <c r="W202" s="543">
        <f t="shared" si="17"/>
        <v>0</v>
      </c>
    </row>
    <row r="203" spans="2:23" x14ac:dyDescent="0.55000000000000004">
      <c r="B203" s="194" t="s">
        <v>672</v>
      </c>
      <c r="C203" s="25"/>
      <c r="D203" s="128"/>
      <c r="E203" s="6"/>
      <c r="F203" s="101"/>
      <c r="G203" s="101"/>
      <c r="H203" s="137"/>
      <c r="I203" s="6"/>
      <c r="J203" s="100">
        <f t="shared" si="18"/>
        <v>0</v>
      </c>
      <c r="K203" s="100">
        <f t="shared" si="19"/>
        <v>0</v>
      </c>
      <c r="L203" s="88">
        <f>K203*係数!$H$30</f>
        <v>0</v>
      </c>
      <c r="M203" s="25"/>
      <c r="N203" s="6"/>
      <c r="O203" s="6"/>
      <c r="P203" s="137"/>
      <c r="Q203" s="6"/>
      <c r="R203" s="533">
        <f t="shared" si="14"/>
        <v>0</v>
      </c>
      <c r="S203" s="12">
        <f t="shared" si="15"/>
        <v>0</v>
      </c>
      <c r="T203" s="88">
        <f>S203*係数!$H$30</f>
        <v>0</v>
      </c>
      <c r="U203" s="12">
        <f t="shared" si="16"/>
        <v>0</v>
      </c>
      <c r="V203" s="545">
        <f>U203*係数!$C$30*0.0000258</f>
        <v>0</v>
      </c>
      <c r="W203" s="543">
        <f t="shared" si="17"/>
        <v>0</v>
      </c>
    </row>
    <row r="204" spans="2:23" x14ac:dyDescent="0.55000000000000004">
      <c r="B204" s="194" t="s">
        <v>673</v>
      </c>
      <c r="C204" s="25"/>
      <c r="D204" s="128"/>
      <c r="E204" s="6"/>
      <c r="F204" s="101"/>
      <c r="G204" s="101"/>
      <c r="H204" s="137"/>
      <c r="I204" s="6"/>
      <c r="J204" s="100">
        <f t="shared" si="18"/>
        <v>0</v>
      </c>
      <c r="K204" s="100">
        <f t="shared" si="19"/>
        <v>0</v>
      </c>
      <c r="L204" s="88">
        <f>K204*係数!$H$30</f>
        <v>0</v>
      </c>
      <c r="M204" s="25"/>
      <c r="N204" s="6"/>
      <c r="O204" s="6"/>
      <c r="P204" s="137"/>
      <c r="Q204" s="6"/>
      <c r="R204" s="533">
        <f t="shared" si="14"/>
        <v>0</v>
      </c>
      <c r="S204" s="12">
        <f t="shared" si="15"/>
        <v>0</v>
      </c>
      <c r="T204" s="88">
        <f>S204*係数!$H$30</f>
        <v>0</v>
      </c>
      <c r="U204" s="12">
        <f t="shared" si="16"/>
        <v>0</v>
      </c>
      <c r="V204" s="545">
        <f>U204*係数!$C$30*0.0000258</f>
        <v>0</v>
      </c>
      <c r="W204" s="543">
        <f t="shared" si="17"/>
        <v>0</v>
      </c>
    </row>
    <row r="205" spans="2:23" x14ac:dyDescent="0.55000000000000004">
      <c r="B205" s="194" t="s">
        <v>674</v>
      </c>
      <c r="C205" s="25"/>
      <c r="D205" s="128"/>
      <c r="E205" s="6"/>
      <c r="F205" s="101"/>
      <c r="G205" s="101"/>
      <c r="H205" s="137"/>
      <c r="I205" s="6"/>
      <c r="J205" s="100">
        <f t="shared" si="18"/>
        <v>0</v>
      </c>
      <c r="K205" s="100">
        <f t="shared" si="19"/>
        <v>0</v>
      </c>
      <c r="L205" s="88">
        <f>K205*係数!$H$30</f>
        <v>0</v>
      </c>
      <c r="M205" s="25"/>
      <c r="N205" s="6"/>
      <c r="O205" s="6"/>
      <c r="P205" s="137"/>
      <c r="Q205" s="6"/>
      <c r="R205" s="533">
        <f t="shared" si="14"/>
        <v>0</v>
      </c>
      <c r="S205" s="12">
        <f t="shared" si="15"/>
        <v>0</v>
      </c>
      <c r="T205" s="88">
        <f>S205*係数!$H$30</f>
        <v>0</v>
      </c>
      <c r="U205" s="12">
        <f t="shared" si="16"/>
        <v>0</v>
      </c>
      <c r="V205" s="545">
        <f>U205*係数!$C$30*0.0000258</f>
        <v>0</v>
      </c>
      <c r="W205" s="543">
        <f t="shared" si="17"/>
        <v>0</v>
      </c>
    </row>
    <row r="206" spans="2:23" x14ac:dyDescent="0.55000000000000004">
      <c r="B206" s="194" t="s">
        <v>675</v>
      </c>
      <c r="C206" s="25"/>
      <c r="D206" s="128"/>
      <c r="E206" s="6"/>
      <c r="F206" s="101"/>
      <c r="G206" s="101"/>
      <c r="H206" s="137"/>
      <c r="I206" s="6"/>
      <c r="J206" s="100">
        <f t="shared" si="18"/>
        <v>0</v>
      </c>
      <c r="K206" s="100">
        <f t="shared" si="19"/>
        <v>0</v>
      </c>
      <c r="L206" s="88">
        <f>K206*係数!$H$30</f>
        <v>0</v>
      </c>
      <c r="M206" s="25"/>
      <c r="N206" s="6"/>
      <c r="O206" s="6"/>
      <c r="P206" s="137"/>
      <c r="Q206" s="6"/>
      <c r="R206" s="533">
        <f t="shared" si="14"/>
        <v>0</v>
      </c>
      <c r="S206" s="12">
        <f t="shared" si="15"/>
        <v>0</v>
      </c>
      <c r="T206" s="88">
        <f>S206*係数!$H$30</f>
        <v>0</v>
      </c>
      <c r="U206" s="12">
        <f t="shared" si="16"/>
        <v>0</v>
      </c>
      <c r="V206" s="545">
        <f>U206*係数!$C$30*0.0000258</f>
        <v>0</v>
      </c>
      <c r="W206" s="543">
        <f t="shared" si="17"/>
        <v>0</v>
      </c>
    </row>
    <row r="207" spans="2:23" x14ac:dyDescent="0.55000000000000004">
      <c r="B207" s="194" t="s">
        <v>676</v>
      </c>
      <c r="C207" s="25"/>
      <c r="D207" s="128"/>
      <c r="E207" s="6"/>
      <c r="F207" s="101"/>
      <c r="G207" s="101"/>
      <c r="H207" s="137"/>
      <c r="I207" s="6"/>
      <c r="J207" s="100">
        <f t="shared" si="18"/>
        <v>0</v>
      </c>
      <c r="K207" s="100">
        <f t="shared" si="19"/>
        <v>0</v>
      </c>
      <c r="L207" s="88">
        <f>K207*係数!$H$30</f>
        <v>0</v>
      </c>
      <c r="M207" s="25"/>
      <c r="N207" s="6"/>
      <c r="O207" s="6"/>
      <c r="P207" s="137"/>
      <c r="Q207" s="6"/>
      <c r="R207" s="533">
        <f t="shared" si="14"/>
        <v>0</v>
      </c>
      <c r="S207" s="12">
        <f t="shared" si="15"/>
        <v>0</v>
      </c>
      <c r="T207" s="88">
        <f>S207*係数!$H$30</f>
        <v>0</v>
      </c>
      <c r="U207" s="12">
        <f t="shared" si="16"/>
        <v>0</v>
      </c>
      <c r="V207" s="545">
        <f>U207*係数!$C$30*0.0000258</f>
        <v>0</v>
      </c>
      <c r="W207" s="543">
        <f t="shared" si="17"/>
        <v>0</v>
      </c>
    </row>
    <row r="208" spans="2:23" x14ac:dyDescent="0.55000000000000004">
      <c r="B208" s="194" t="s">
        <v>677</v>
      </c>
      <c r="C208" s="25"/>
      <c r="D208" s="128"/>
      <c r="E208" s="6"/>
      <c r="F208" s="101"/>
      <c r="G208" s="101"/>
      <c r="H208" s="137"/>
      <c r="I208" s="6"/>
      <c r="J208" s="100">
        <f t="shared" si="18"/>
        <v>0</v>
      </c>
      <c r="K208" s="100">
        <f t="shared" si="19"/>
        <v>0</v>
      </c>
      <c r="L208" s="88">
        <f>K208*係数!$H$30</f>
        <v>0</v>
      </c>
      <c r="M208" s="25"/>
      <c r="N208" s="6"/>
      <c r="O208" s="6"/>
      <c r="P208" s="137"/>
      <c r="Q208" s="6"/>
      <c r="R208" s="533">
        <f t="shared" si="14"/>
        <v>0</v>
      </c>
      <c r="S208" s="12">
        <f t="shared" si="15"/>
        <v>0</v>
      </c>
      <c r="T208" s="88">
        <f>S208*係数!$H$30</f>
        <v>0</v>
      </c>
      <c r="U208" s="12">
        <f t="shared" si="16"/>
        <v>0</v>
      </c>
      <c r="V208" s="545">
        <f>U208*係数!$C$30*0.0000258</f>
        <v>0</v>
      </c>
      <c r="W208" s="543">
        <f t="shared" si="17"/>
        <v>0</v>
      </c>
    </row>
    <row r="209" spans="2:23" x14ac:dyDescent="0.55000000000000004">
      <c r="B209" s="194" t="s">
        <v>678</v>
      </c>
      <c r="C209" s="25"/>
      <c r="D209" s="128"/>
      <c r="E209" s="6"/>
      <c r="F209" s="101"/>
      <c r="G209" s="101"/>
      <c r="H209" s="137"/>
      <c r="I209" s="6"/>
      <c r="J209" s="100">
        <f t="shared" si="18"/>
        <v>0</v>
      </c>
      <c r="K209" s="100">
        <f t="shared" si="19"/>
        <v>0</v>
      </c>
      <c r="L209" s="88">
        <f>K209*係数!$H$30</f>
        <v>0</v>
      </c>
      <c r="M209" s="25"/>
      <c r="N209" s="6"/>
      <c r="O209" s="6"/>
      <c r="P209" s="137"/>
      <c r="Q209" s="6"/>
      <c r="R209" s="533">
        <f t="shared" si="14"/>
        <v>0</v>
      </c>
      <c r="S209" s="12">
        <f t="shared" si="15"/>
        <v>0</v>
      </c>
      <c r="T209" s="88">
        <f>S209*係数!$H$30</f>
        <v>0</v>
      </c>
      <c r="U209" s="12">
        <f t="shared" si="16"/>
        <v>0</v>
      </c>
      <c r="V209" s="545">
        <f>U209*係数!$C$30*0.0000258</f>
        <v>0</v>
      </c>
      <c r="W209" s="543">
        <f t="shared" si="17"/>
        <v>0</v>
      </c>
    </row>
    <row r="210" spans="2:23" x14ac:dyDescent="0.55000000000000004">
      <c r="B210" s="194" t="s">
        <v>679</v>
      </c>
      <c r="C210" s="25"/>
      <c r="D210" s="128"/>
      <c r="E210" s="6"/>
      <c r="F210" s="101"/>
      <c r="G210" s="101"/>
      <c r="H210" s="137"/>
      <c r="I210" s="6"/>
      <c r="J210" s="100">
        <f t="shared" si="18"/>
        <v>0</v>
      </c>
      <c r="K210" s="100">
        <f t="shared" si="19"/>
        <v>0</v>
      </c>
      <c r="L210" s="88">
        <f>K210*係数!$H$30</f>
        <v>0</v>
      </c>
      <c r="M210" s="25"/>
      <c r="N210" s="6"/>
      <c r="O210" s="6"/>
      <c r="P210" s="137"/>
      <c r="Q210" s="6"/>
      <c r="R210" s="533">
        <f t="shared" ref="R210:R273" si="20">IF(P210="",J210,J210*Q210/100)</f>
        <v>0</v>
      </c>
      <c r="S210" s="12">
        <f t="shared" ref="S210:S273" si="21">N210*O210*R210/1000</f>
        <v>0</v>
      </c>
      <c r="T210" s="88">
        <f>S210*係数!$H$30</f>
        <v>0</v>
      </c>
      <c r="U210" s="12">
        <f t="shared" ref="U210:U273" si="22">K210-S210</f>
        <v>0</v>
      </c>
      <c r="V210" s="545">
        <f>U210*係数!$C$30*0.0000258</f>
        <v>0</v>
      </c>
      <c r="W210" s="543">
        <f t="shared" ref="W210:W273" si="23">L210-T210</f>
        <v>0</v>
      </c>
    </row>
    <row r="211" spans="2:23" x14ac:dyDescent="0.55000000000000004">
      <c r="B211" s="194" t="s">
        <v>680</v>
      </c>
      <c r="C211" s="25"/>
      <c r="D211" s="128"/>
      <c r="E211" s="6"/>
      <c r="F211" s="101"/>
      <c r="G211" s="101"/>
      <c r="H211" s="137"/>
      <c r="I211" s="6"/>
      <c r="J211" s="100">
        <f t="shared" si="18"/>
        <v>0</v>
      </c>
      <c r="K211" s="100">
        <f t="shared" si="19"/>
        <v>0</v>
      </c>
      <c r="L211" s="88">
        <f>K211*係数!$H$30</f>
        <v>0</v>
      </c>
      <c r="M211" s="25"/>
      <c r="N211" s="6"/>
      <c r="O211" s="6"/>
      <c r="P211" s="137"/>
      <c r="Q211" s="6"/>
      <c r="R211" s="533">
        <f t="shared" si="20"/>
        <v>0</v>
      </c>
      <c r="S211" s="12">
        <f t="shared" si="21"/>
        <v>0</v>
      </c>
      <c r="T211" s="88">
        <f>S211*係数!$H$30</f>
        <v>0</v>
      </c>
      <c r="U211" s="12">
        <f t="shared" si="22"/>
        <v>0</v>
      </c>
      <c r="V211" s="545">
        <f>U211*係数!$C$30*0.0000258</f>
        <v>0</v>
      </c>
      <c r="W211" s="543">
        <f t="shared" si="23"/>
        <v>0</v>
      </c>
    </row>
    <row r="212" spans="2:23" x14ac:dyDescent="0.55000000000000004">
      <c r="B212" s="194" t="s">
        <v>681</v>
      </c>
      <c r="C212" s="25"/>
      <c r="D212" s="128"/>
      <c r="E212" s="6"/>
      <c r="F212" s="101"/>
      <c r="G212" s="101"/>
      <c r="H212" s="137"/>
      <c r="I212" s="6"/>
      <c r="J212" s="100">
        <f t="shared" si="18"/>
        <v>0</v>
      </c>
      <c r="K212" s="100">
        <f t="shared" si="19"/>
        <v>0</v>
      </c>
      <c r="L212" s="88">
        <f>K212*係数!$H$30</f>
        <v>0</v>
      </c>
      <c r="M212" s="25"/>
      <c r="N212" s="6"/>
      <c r="O212" s="6"/>
      <c r="P212" s="137"/>
      <c r="Q212" s="6"/>
      <c r="R212" s="533">
        <f t="shared" si="20"/>
        <v>0</v>
      </c>
      <c r="S212" s="12">
        <f t="shared" si="21"/>
        <v>0</v>
      </c>
      <c r="T212" s="88">
        <f>S212*係数!$H$30</f>
        <v>0</v>
      </c>
      <c r="U212" s="12">
        <f t="shared" si="22"/>
        <v>0</v>
      </c>
      <c r="V212" s="545">
        <f>U212*係数!$C$30*0.0000258</f>
        <v>0</v>
      </c>
      <c r="W212" s="543">
        <f t="shared" si="23"/>
        <v>0</v>
      </c>
    </row>
    <row r="213" spans="2:23" x14ac:dyDescent="0.55000000000000004">
      <c r="B213" s="194" t="s">
        <v>682</v>
      </c>
      <c r="C213" s="25"/>
      <c r="D213" s="128"/>
      <c r="E213" s="6"/>
      <c r="F213" s="101"/>
      <c r="G213" s="101"/>
      <c r="H213" s="137"/>
      <c r="I213" s="6"/>
      <c r="J213" s="100">
        <f t="shared" si="18"/>
        <v>0</v>
      </c>
      <c r="K213" s="100">
        <f t="shared" si="19"/>
        <v>0</v>
      </c>
      <c r="L213" s="88">
        <f>K213*係数!$H$30</f>
        <v>0</v>
      </c>
      <c r="M213" s="25"/>
      <c r="N213" s="6"/>
      <c r="O213" s="6"/>
      <c r="P213" s="137"/>
      <c r="Q213" s="6"/>
      <c r="R213" s="533">
        <f t="shared" si="20"/>
        <v>0</v>
      </c>
      <c r="S213" s="12">
        <f t="shared" si="21"/>
        <v>0</v>
      </c>
      <c r="T213" s="88">
        <f>S213*係数!$H$30</f>
        <v>0</v>
      </c>
      <c r="U213" s="12">
        <f t="shared" si="22"/>
        <v>0</v>
      </c>
      <c r="V213" s="545">
        <f>U213*係数!$C$30*0.0000258</f>
        <v>0</v>
      </c>
      <c r="W213" s="543">
        <f t="shared" si="23"/>
        <v>0</v>
      </c>
    </row>
    <row r="214" spans="2:23" x14ac:dyDescent="0.55000000000000004">
      <c r="B214" s="194" t="s">
        <v>683</v>
      </c>
      <c r="C214" s="25"/>
      <c r="D214" s="128"/>
      <c r="E214" s="6"/>
      <c r="F214" s="101"/>
      <c r="G214" s="101"/>
      <c r="H214" s="137"/>
      <c r="I214" s="6"/>
      <c r="J214" s="100">
        <f t="shared" si="18"/>
        <v>0</v>
      </c>
      <c r="K214" s="100">
        <f t="shared" si="19"/>
        <v>0</v>
      </c>
      <c r="L214" s="88">
        <f>K214*係数!$H$30</f>
        <v>0</v>
      </c>
      <c r="M214" s="25"/>
      <c r="N214" s="6"/>
      <c r="O214" s="6"/>
      <c r="P214" s="137"/>
      <c r="Q214" s="6"/>
      <c r="R214" s="533">
        <f t="shared" si="20"/>
        <v>0</v>
      </c>
      <c r="S214" s="12">
        <f t="shared" si="21"/>
        <v>0</v>
      </c>
      <c r="T214" s="88">
        <f>S214*係数!$H$30</f>
        <v>0</v>
      </c>
      <c r="U214" s="12">
        <f t="shared" si="22"/>
        <v>0</v>
      </c>
      <c r="V214" s="545">
        <f>U214*係数!$C$30*0.0000258</f>
        <v>0</v>
      </c>
      <c r="W214" s="543">
        <f t="shared" si="23"/>
        <v>0</v>
      </c>
    </row>
    <row r="215" spans="2:23" x14ac:dyDescent="0.55000000000000004">
      <c r="B215" s="194" t="s">
        <v>684</v>
      </c>
      <c r="C215" s="25"/>
      <c r="D215" s="128"/>
      <c r="E215" s="6"/>
      <c r="F215" s="101"/>
      <c r="G215" s="101"/>
      <c r="H215" s="137"/>
      <c r="I215" s="6"/>
      <c r="J215" s="100">
        <f t="shared" si="18"/>
        <v>0</v>
      </c>
      <c r="K215" s="100">
        <f t="shared" si="19"/>
        <v>0</v>
      </c>
      <c r="L215" s="88">
        <f>K215*係数!$H$30</f>
        <v>0</v>
      </c>
      <c r="M215" s="25"/>
      <c r="N215" s="6"/>
      <c r="O215" s="6"/>
      <c r="P215" s="137"/>
      <c r="Q215" s="6"/>
      <c r="R215" s="533">
        <f t="shared" si="20"/>
        <v>0</v>
      </c>
      <c r="S215" s="12">
        <f t="shared" si="21"/>
        <v>0</v>
      </c>
      <c r="T215" s="88">
        <f>S215*係数!$H$30</f>
        <v>0</v>
      </c>
      <c r="U215" s="12">
        <f t="shared" si="22"/>
        <v>0</v>
      </c>
      <c r="V215" s="545">
        <f>U215*係数!$C$30*0.0000258</f>
        <v>0</v>
      </c>
      <c r="W215" s="543">
        <f t="shared" si="23"/>
        <v>0</v>
      </c>
    </row>
    <row r="216" spans="2:23" x14ac:dyDescent="0.55000000000000004">
      <c r="B216" s="194" t="s">
        <v>685</v>
      </c>
      <c r="C216" s="25"/>
      <c r="D216" s="128"/>
      <c r="E216" s="6"/>
      <c r="F216" s="101"/>
      <c r="G216" s="101"/>
      <c r="H216" s="137"/>
      <c r="I216" s="6"/>
      <c r="J216" s="100">
        <f t="shared" si="18"/>
        <v>0</v>
      </c>
      <c r="K216" s="100">
        <f t="shared" si="19"/>
        <v>0</v>
      </c>
      <c r="L216" s="88">
        <f>K216*係数!$H$30</f>
        <v>0</v>
      </c>
      <c r="M216" s="25"/>
      <c r="N216" s="6"/>
      <c r="O216" s="6"/>
      <c r="P216" s="137"/>
      <c r="Q216" s="6"/>
      <c r="R216" s="533">
        <f t="shared" si="20"/>
        <v>0</v>
      </c>
      <c r="S216" s="12">
        <f t="shared" si="21"/>
        <v>0</v>
      </c>
      <c r="T216" s="88">
        <f>S216*係数!$H$30</f>
        <v>0</v>
      </c>
      <c r="U216" s="12">
        <f t="shared" si="22"/>
        <v>0</v>
      </c>
      <c r="V216" s="545">
        <f>U216*係数!$C$30*0.0000258</f>
        <v>0</v>
      </c>
      <c r="W216" s="543">
        <f t="shared" si="23"/>
        <v>0</v>
      </c>
    </row>
    <row r="217" spans="2:23" x14ac:dyDescent="0.55000000000000004">
      <c r="B217" s="194" t="s">
        <v>686</v>
      </c>
      <c r="C217" s="25"/>
      <c r="D217" s="128"/>
      <c r="E217" s="6"/>
      <c r="F217" s="101"/>
      <c r="G217" s="101"/>
      <c r="H217" s="137"/>
      <c r="I217" s="6"/>
      <c r="J217" s="100">
        <f t="shared" si="18"/>
        <v>0</v>
      </c>
      <c r="K217" s="100">
        <f t="shared" si="19"/>
        <v>0</v>
      </c>
      <c r="L217" s="88">
        <f>K217*係数!$H$30</f>
        <v>0</v>
      </c>
      <c r="M217" s="25"/>
      <c r="N217" s="6"/>
      <c r="O217" s="6"/>
      <c r="P217" s="137"/>
      <c r="Q217" s="6"/>
      <c r="R217" s="533">
        <f t="shared" si="20"/>
        <v>0</v>
      </c>
      <c r="S217" s="12">
        <f t="shared" si="21"/>
        <v>0</v>
      </c>
      <c r="T217" s="88">
        <f>S217*係数!$H$30</f>
        <v>0</v>
      </c>
      <c r="U217" s="12">
        <f t="shared" si="22"/>
        <v>0</v>
      </c>
      <c r="V217" s="545">
        <f>U217*係数!$C$30*0.0000258</f>
        <v>0</v>
      </c>
      <c r="W217" s="543">
        <f t="shared" si="23"/>
        <v>0</v>
      </c>
    </row>
    <row r="218" spans="2:23" x14ac:dyDescent="0.55000000000000004">
      <c r="B218" s="194" t="s">
        <v>687</v>
      </c>
      <c r="C218" s="25"/>
      <c r="D218" s="128"/>
      <c r="E218" s="6"/>
      <c r="F218" s="101"/>
      <c r="G218" s="101"/>
      <c r="H218" s="137"/>
      <c r="I218" s="6"/>
      <c r="J218" s="100">
        <f t="shared" si="18"/>
        <v>0</v>
      </c>
      <c r="K218" s="100">
        <f t="shared" si="19"/>
        <v>0</v>
      </c>
      <c r="L218" s="88">
        <f>K218*係数!$H$30</f>
        <v>0</v>
      </c>
      <c r="M218" s="25"/>
      <c r="N218" s="6"/>
      <c r="O218" s="6"/>
      <c r="P218" s="137"/>
      <c r="Q218" s="6"/>
      <c r="R218" s="533">
        <f t="shared" si="20"/>
        <v>0</v>
      </c>
      <c r="S218" s="12">
        <f t="shared" si="21"/>
        <v>0</v>
      </c>
      <c r="T218" s="88">
        <f>S218*係数!$H$30</f>
        <v>0</v>
      </c>
      <c r="U218" s="12">
        <f t="shared" si="22"/>
        <v>0</v>
      </c>
      <c r="V218" s="545">
        <f>U218*係数!$C$30*0.0000258</f>
        <v>0</v>
      </c>
      <c r="W218" s="543">
        <f t="shared" si="23"/>
        <v>0</v>
      </c>
    </row>
    <row r="219" spans="2:23" x14ac:dyDescent="0.55000000000000004">
      <c r="B219" s="194" t="s">
        <v>688</v>
      </c>
      <c r="C219" s="25"/>
      <c r="D219" s="128"/>
      <c r="E219" s="6"/>
      <c r="F219" s="101"/>
      <c r="G219" s="101"/>
      <c r="H219" s="137"/>
      <c r="I219" s="6"/>
      <c r="J219" s="100">
        <f t="shared" si="18"/>
        <v>0</v>
      </c>
      <c r="K219" s="100">
        <f t="shared" si="19"/>
        <v>0</v>
      </c>
      <c r="L219" s="88">
        <f>K219*係数!$H$30</f>
        <v>0</v>
      </c>
      <c r="M219" s="25"/>
      <c r="N219" s="6"/>
      <c r="O219" s="6"/>
      <c r="P219" s="137"/>
      <c r="Q219" s="6"/>
      <c r="R219" s="533">
        <f t="shared" si="20"/>
        <v>0</v>
      </c>
      <c r="S219" s="12">
        <f t="shared" si="21"/>
        <v>0</v>
      </c>
      <c r="T219" s="88">
        <f>S219*係数!$H$30</f>
        <v>0</v>
      </c>
      <c r="U219" s="12">
        <f t="shared" si="22"/>
        <v>0</v>
      </c>
      <c r="V219" s="545">
        <f>U219*係数!$C$30*0.0000258</f>
        <v>0</v>
      </c>
      <c r="W219" s="543">
        <f t="shared" si="23"/>
        <v>0</v>
      </c>
    </row>
    <row r="220" spans="2:23" x14ac:dyDescent="0.55000000000000004">
      <c r="B220" s="194" t="s">
        <v>689</v>
      </c>
      <c r="C220" s="25"/>
      <c r="D220" s="128"/>
      <c r="E220" s="6"/>
      <c r="F220" s="101"/>
      <c r="G220" s="101"/>
      <c r="H220" s="137"/>
      <c r="I220" s="6"/>
      <c r="J220" s="100">
        <f t="shared" si="18"/>
        <v>0</v>
      </c>
      <c r="K220" s="100">
        <f t="shared" si="19"/>
        <v>0</v>
      </c>
      <c r="L220" s="88">
        <f>K220*係数!$H$30</f>
        <v>0</v>
      </c>
      <c r="M220" s="25"/>
      <c r="N220" s="6"/>
      <c r="O220" s="6"/>
      <c r="P220" s="137"/>
      <c r="Q220" s="6"/>
      <c r="R220" s="533">
        <f t="shared" si="20"/>
        <v>0</v>
      </c>
      <c r="S220" s="12">
        <f t="shared" si="21"/>
        <v>0</v>
      </c>
      <c r="T220" s="88">
        <f>S220*係数!$H$30</f>
        <v>0</v>
      </c>
      <c r="U220" s="12">
        <f t="shared" si="22"/>
        <v>0</v>
      </c>
      <c r="V220" s="545">
        <f>U220*係数!$C$30*0.0000258</f>
        <v>0</v>
      </c>
      <c r="W220" s="543">
        <f t="shared" si="23"/>
        <v>0</v>
      </c>
    </row>
    <row r="221" spans="2:23" x14ac:dyDescent="0.55000000000000004">
      <c r="B221" s="194" t="s">
        <v>690</v>
      </c>
      <c r="C221" s="25"/>
      <c r="D221" s="128"/>
      <c r="E221" s="6"/>
      <c r="F221" s="101"/>
      <c r="G221" s="101"/>
      <c r="H221" s="137"/>
      <c r="I221" s="6"/>
      <c r="J221" s="100">
        <f t="shared" si="18"/>
        <v>0</v>
      </c>
      <c r="K221" s="100">
        <f t="shared" si="19"/>
        <v>0</v>
      </c>
      <c r="L221" s="88">
        <f>K221*係数!$H$30</f>
        <v>0</v>
      </c>
      <c r="M221" s="25"/>
      <c r="N221" s="6"/>
      <c r="O221" s="6"/>
      <c r="P221" s="137"/>
      <c r="Q221" s="6"/>
      <c r="R221" s="533">
        <f t="shared" si="20"/>
        <v>0</v>
      </c>
      <c r="S221" s="12">
        <f t="shared" si="21"/>
        <v>0</v>
      </c>
      <c r="T221" s="88">
        <f>S221*係数!$H$30</f>
        <v>0</v>
      </c>
      <c r="U221" s="12">
        <f t="shared" si="22"/>
        <v>0</v>
      </c>
      <c r="V221" s="545">
        <f>U221*係数!$C$30*0.0000258</f>
        <v>0</v>
      </c>
      <c r="W221" s="543">
        <f t="shared" si="23"/>
        <v>0</v>
      </c>
    </row>
    <row r="222" spans="2:23" x14ac:dyDescent="0.55000000000000004">
      <c r="B222" s="194" t="s">
        <v>691</v>
      </c>
      <c r="C222" s="25"/>
      <c r="D222" s="128"/>
      <c r="E222" s="6"/>
      <c r="F222" s="101"/>
      <c r="G222" s="101"/>
      <c r="H222" s="137"/>
      <c r="I222" s="6"/>
      <c r="J222" s="100">
        <f t="shared" si="18"/>
        <v>0</v>
      </c>
      <c r="K222" s="100">
        <f t="shared" si="19"/>
        <v>0</v>
      </c>
      <c r="L222" s="88">
        <f>K222*係数!$H$30</f>
        <v>0</v>
      </c>
      <c r="M222" s="25"/>
      <c r="N222" s="6"/>
      <c r="O222" s="6"/>
      <c r="P222" s="137"/>
      <c r="Q222" s="6"/>
      <c r="R222" s="533">
        <f t="shared" si="20"/>
        <v>0</v>
      </c>
      <c r="S222" s="12">
        <f t="shared" si="21"/>
        <v>0</v>
      </c>
      <c r="T222" s="88">
        <f>S222*係数!$H$30</f>
        <v>0</v>
      </c>
      <c r="U222" s="12">
        <f t="shared" si="22"/>
        <v>0</v>
      </c>
      <c r="V222" s="545">
        <f>U222*係数!$C$30*0.0000258</f>
        <v>0</v>
      </c>
      <c r="W222" s="543">
        <f t="shared" si="23"/>
        <v>0</v>
      </c>
    </row>
    <row r="223" spans="2:23" x14ac:dyDescent="0.55000000000000004">
      <c r="B223" s="194" t="s">
        <v>692</v>
      </c>
      <c r="C223" s="25"/>
      <c r="D223" s="128"/>
      <c r="E223" s="6"/>
      <c r="F223" s="101"/>
      <c r="G223" s="101"/>
      <c r="H223" s="137"/>
      <c r="I223" s="6"/>
      <c r="J223" s="100">
        <f t="shared" si="18"/>
        <v>0</v>
      </c>
      <c r="K223" s="100">
        <f t="shared" si="19"/>
        <v>0</v>
      </c>
      <c r="L223" s="88">
        <f>K223*係数!$H$30</f>
        <v>0</v>
      </c>
      <c r="M223" s="25"/>
      <c r="N223" s="6"/>
      <c r="O223" s="6"/>
      <c r="P223" s="137"/>
      <c r="Q223" s="6"/>
      <c r="R223" s="533">
        <f t="shared" si="20"/>
        <v>0</v>
      </c>
      <c r="S223" s="12">
        <f t="shared" si="21"/>
        <v>0</v>
      </c>
      <c r="T223" s="88">
        <f>S223*係数!$H$30</f>
        <v>0</v>
      </c>
      <c r="U223" s="12">
        <f t="shared" si="22"/>
        <v>0</v>
      </c>
      <c r="V223" s="545">
        <f>U223*係数!$C$30*0.0000258</f>
        <v>0</v>
      </c>
      <c r="W223" s="543">
        <f t="shared" si="23"/>
        <v>0</v>
      </c>
    </row>
    <row r="224" spans="2:23" x14ac:dyDescent="0.55000000000000004">
      <c r="B224" s="194" t="s">
        <v>693</v>
      </c>
      <c r="C224" s="25"/>
      <c r="D224" s="128"/>
      <c r="E224" s="6"/>
      <c r="F224" s="101"/>
      <c r="G224" s="101"/>
      <c r="H224" s="137"/>
      <c r="I224" s="6"/>
      <c r="J224" s="100">
        <f t="shared" si="18"/>
        <v>0</v>
      </c>
      <c r="K224" s="100">
        <f t="shared" si="19"/>
        <v>0</v>
      </c>
      <c r="L224" s="88">
        <f>K224*係数!$H$30</f>
        <v>0</v>
      </c>
      <c r="M224" s="25"/>
      <c r="N224" s="6"/>
      <c r="O224" s="6"/>
      <c r="P224" s="137"/>
      <c r="Q224" s="6"/>
      <c r="R224" s="533">
        <f t="shared" si="20"/>
        <v>0</v>
      </c>
      <c r="S224" s="12">
        <f t="shared" si="21"/>
        <v>0</v>
      </c>
      <c r="T224" s="88">
        <f>S224*係数!$H$30</f>
        <v>0</v>
      </c>
      <c r="U224" s="12">
        <f t="shared" si="22"/>
        <v>0</v>
      </c>
      <c r="V224" s="545">
        <f>U224*係数!$C$30*0.0000258</f>
        <v>0</v>
      </c>
      <c r="W224" s="543">
        <f t="shared" si="23"/>
        <v>0</v>
      </c>
    </row>
    <row r="225" spans="2:23" x14ac:dyDescent="0.55000000000000004">
      <c r="B225" s="194" t="s">
        <v>694</v>
      </c>
      <c r="C225" s="25"/>
      <c r="D225" s="128"/>
      <c r="E225" s="6"/>
      <c r="F225" s="101"/>
      <c r="G225" s="101"/>
      <c r="H225" s="137"/>
      <c r="I225" s="6"/>
      <c r="J225" s="100">
        <f t="shared" si="18"/>
        <v>0</v>
      </c>
      <c r="K225" s="100">
        <f t="shared" si="19"/>
        <v>0</v>
      </c>
      <c r="L225" s="88">
        <f>K225*係数!$H$30</f>
        <v>0</v>
      </c>
      <c r="M225" s="25"/>
      <c r="N225" s="6"/>
      <c r="O225" s="6"/>
      <c r="P225" s="137"/>
      <c r="Q225" s="6"/>
      <c r="R225" s="533">
        <f t="shared" si="20"/>
        <v>0</v>
      </c>
      <c r="S225" s="12">
        <f t="shared" si="21"/>
        <v>0</v>
      </c>
      <c r="T225" s="88">
        <f>S225*係数!$H$30</f>
        <v>0</v>
      </c>
      <c r="U225" s="12">
        <f t="shared" si="22"/>
        <v>0</v>
      </c>
      <c r="V225" s="545">
        <f>U225*係数!$C$30*0.0000258</f>
        <v>0</v>
      </c>
      <c r="W225" s="543">
        <f t="shared" si="23"/>
        <v>0</v>
      </c>
    </row>
    <row r="226" spans="2:23" x14ac:dyDescent="0.55000000000000004">
      <c r="B226" s="194" t="s">
        <v>695</v>
      </c>
      <c r="C226" s="25"/>
      <c r="D226" s="128"/>
      <c r="E226" s="6"/>
      <c r="F226" s="101"/>
      <c r="G226" s="101"/>
      <c r="H226" s="137"/>
      <c r="I226" s="6"/>
      <c r="J226" s="100">
        <f t="shared" si="18"/>
        <v>0</v>
      </c>
      <c r="K226" s="100">
        <f t="shared" si="19"/>
        <v>0</v>
      </c>
      <c r="L226" s="88">
        <f>K226*係数!$H$30</f>
        <v>0</v>
      </c>
      <c r="M226" s="25"/>
      <c r="N226" s="6"/>
      <c r="O226" s="6"/>
      <c r="P226" s="137"/>
      <c r="Q226" s="6"/>
      <c r="R226" s="533">
        <f t="shared" si="20"/>
        <v>0</v>
      </c>
      <c r="S226" s="12">
        <f t="shared" si="21"/>
        <v>0</v>
      </c>
      <c r="T226" s="88">
        <f>S226*係数!$H$30</f>
        <v>0</v>
      </c>
      <c r="U226" s="12">
        <f t="shared" si="22"/>
        <v>0</v>
      </c>
      <c r="V226" s="545">
        <f>U226*係数!$C$30*0.0000258</f>
        <v>0</v>
      </c>
      <c r="W226" s="543">
        <f t="shared" si="23"/>
        <v>0</v>
      </c>
    </row>
    <row r="227" spans="2:23" x14ac:dyDescent="0.55000000000000004">
      <c r="B227" s="194" t="s">
        <v>696</v>
      </c>
      <c r="C227" s="25"/>
      <c r="D227" s="128"/>
      <c r="E227" s="6"/>
      <c r="F227" s="101"/>
      <c r="G227" s="101"/>
      <c r="H227" s="137"/>
      <c r="I227" s="6"/>
      <c r="J227" s="100">
        <f t="shared" si="18"/>
        <v>0</v>
      </c>
      <c r="K227" s="100">
        <f t="shared" si="19"/>
        <v>0</v>
      </c>
      <c r="L227" s="88">
        <f>K227*係数!$H$30</f>
        <v>0</v>
      </c>
      <c r="M227" s="25"/>
      <c r="N227" s="6"/>
      <c r="O227" s="6"/>
      <c r="P227" s="137"/>
      <c r="Q227" s="6"/>
      <c r="R227" s="533">
        <f t="shared" si="20"/>
        <v>0</v>
      </c>
      <c r="S227" s="12">
        <f t="shared" si="21"/>
        <v>0</v>
      </c>
      <c r="T227" s="88">
        <f>S227*係数!$H$30</f>
        <v>0</v>
      </c>
      <c r="U227" s="12">
        <f t="shared" si="22"/>
        <v>0</v>
      </c>
      <c r="V227" s="545">
        <f>U227*係数!$C$30*0.0000258</f>
        <v>0</v>
      </c>
      <c r="W227" s="543">
        <f t="shared" si="23"/>
        <v>0</v>
      </c>
    </row>
    <row r="228" spans="2:23" x14ac:dyDescent="0.55000000000000004">
      <c r="B228" s="194" t="s">
        <v>697</v>
      </c>
      <c r="C228" s="25"/>
      <c r="D228" s="128"/>
      <c r="E228" s="6"/>
      <c r="F228" s="101"/>
      <c r="G228" s="101"/>
      <c r="H228" s="137"/>
      <c r="I228" s="6"/>
      <c r="J228" s="100">
        <f t="shared" si="18"/>
        <v>0</v>
      </c>
      <c r="K228" s="100">
        <f t="shared" si="19"/>
        <v>0</v>
      </c>
      <c r="L228" s="88">
        <f>K228*係数!$H$30</f>
        <v>0</v>
      </c>
      <c r="M228" s="25"/>
      <c r="N228" s="6"/>
      <c r="O228" s="6"/>
      <c r="P228" s="137"/>
      <c r="Q228" s="6"/>
      <c r="R228" s="533">
        <f t="shared" si="20"/>
        <v>0</v>
      </c>
      <c r="S228" s="12">
        <f t="shared" si="21"/>
        <v>0</v>
      </c>
      <c r="T228" s="88">
        <f>S228*係数!$H$30</f>
        <v>0</v>
      </c>
      <c r="U228" s="12">
        <f t="shared" si="22"/>
        <v>0</v>
      </c>
      <c r="V228" s="545">
        <f>U228*係数!$C$30*0.0000258</f>
        <v>0</v>
      </c>
      <c r="W228" s="543">
        <f t="shared" si="23"/>
        <v>0</v>
      </c>
    </row>
    <row r="229" spans="2:23" x14ac:dyDescent="0.55000000000000004">
      <c r="B229" s="194" t="s">
        <v>698</v>
      </c>
      <c r="C229" s="25"/>
      <c r="D229" s="128"/>
      <c r="E229" s="6"/>
      <c r="F229" s="101"/>
      <c r="G229" s="101"/>
      <c r="H229" s="137"/>
      <c r="I229" s="6"/>
      <c r="J229" s="100">
        <f t="shared" si="18"/>
        <v>0</v>
      </c>
      <c r="K229" s="100">
        <f t="shared" si="19"/>
        <v>0</v>
      </c>
      <c r="L229" s="88">
        <f>K229*係数!$H$30</f>
        <v>0</v>
      </c>
      <c r="M229" s="25"/>
      <c r="N229" s="6"/>
      <c r="O229" s="6"/>
      <c r="P229" s="137"/>
      <c r="Q229" s="6"/>
      <c r="R229" s="533">
        <f t="shared" si="20"/>
        <v>0</v>
      </c>
      <c r="S229" s="12">
        <f t="shared" si="21"/>
        <v>0</v>
      </c>
      <c r="T229" s="88">
        <f>S229*係数!$H$30</f>
        <v>0</v>
      </c>
      <c r="U229" s="12">
        <f t="shared" si="22"/>
        <v>0</v>
      </c>
      <c r="V229" s="545">
        <f>U229*係数!$C$30*0.0000258</f>
        <v>0</v>
      </c>
      <c r="W229" s="543">
        <f t="shared" si="23"/>
        <v>0</v>
      </c>
    </row>
    <row r="230" spans="2:23" x14ac:dyDescent="0.55000000000000004">
      <c r="B230" s="194" t="s">
        <v>699</v>
      </c>
      <c r="C230" s="25"/>
      <c r="D230" s="128"/>
      <c r="E230" s="6"/>
      <c r="F230" s="101"/>
      <c r="G230" s="101"/>
      <c r="H230" s="137"/>
      <c r="I230" s="6"/>
      <c r="J230" s="100">
        <f t="shared" si="18"/>
        <v>0</v>
      </c>
      <c r="K230" s="100">
        <f t="shared" si="19"/>
        <v>0</v>
      </c>
      <c r="L230" s="88">
        <f>K230*係数!$H$30</f>
        <v>0</v>
      </c>
      <c r="M230" s="25"/>
      <c r="N230" s="6"/>
      <c r="O230" s="6"/>
      <c r="P230" s="137"/>
      <c r="Q230" s="6"/>
      <c r="R230" s="533">
        <f t="shared" si="20"/>
        <v>0</v>
      </c>
      <c r="S230" s="12">
        <f t="shared" si="21"/>
        <v>0</v>
      </c>
      <c r="T230" s="88">
        <f>S230*係数!$H$30</f>
        <v>0</v>
      </c>
      <c r="U230" s="12">
        <f t="shared" si="22"/>
        <v>0</v>
      </c>
      <c r="V230" s="545">
        <f>U230*係数!$C$30*0.0000258</f>
        <v>0</v>
      </c>
      <c r="W230" s="543">
        <f t="shared" si="23"/>
        <v>0</v>
      </c>
    </row>
    <row r="231" spans="2:23" x14ac:dyDescent="0.55000000000000004">
      <c r="B231" s="194" t="s">
        <v>700</v>
      </c>
      <c r="C231" s="25"/>
      <c r="D231" s="128"/>
      <c r="E231" s="6"/>
      <c r="F231" s="101"/>
      <c r="G231" s="101"/>
      <c r="H231" s="137"/>
      <c r="I231" s="6"/>
      <c r="J231" s="100">
        <f t="shared" si="18"/>
        <v>0</v>
      </c>
      <c r="K231" s="100">
        <f t="shared" si="19"/>
        <v>0</v>
      </c>
      <c r="L231" s="88">
        <f>K231*係数!$H$30</f>
        <v>0</v>
      </c>
      <c r="M231" s="25"/>
      <c r="N231" s="6"/>
      <c r="O231" s="6"/>
      <c r="P231" s="137"/>
      <c r="Q231" s="6"/>
      <c r="R231" s="533">
        <f t="shared" si="20"/>
        <v>0</v>
      </c>
      <c r="S231" s="12">
        <f t="shared" si="21"/>
        <v>0</v>
      </c>
      <c r="T231" s="88">
        <f>S231*係数!$H$30</f>
        <v>0</v>
      </c>
      <c r="U231" s="12">
        <f t="shared" si="22"/>
        <v>0</v>
      </c>
      <c r="V231" s="545">
        <f>U231*係数!$C$30*0.0000258</f>
        <v>0</v>
      </c>
      <c r="W231" s="543">
        <f t="shared" si="23"/>
        <v>0</v>
      </c>
    </row>
    <row r="232" spans="2:23" x14ac:dyDescent="0.55000000000000004">
      <c r="B232" s="194" t="s">
        <v>701</v>
      </c>
      <c r="C232" s="25"/>
      <c r="D232" s="128"/>
      <c r="E232" s="6"/>
      <c r="F232" s="101"/>
      <c r="G232" s="101"/>
      <c r="H232" s="137"/>
      <c r="I232" s="6"/>
      <c r="J232" s="100">
        <f t="shared" si="18"/>
        <v>0</v>
      </c>
      <c r="K232" s="100">
        <f t="shared" si="19"/>
        <v>0</v>
      </c>
      <c r="L232" s="88">
        <f>K232*係数!$H$30</f>
        <v>0</v>
      </c>
      <c r="M232" s="25"/>
      <c r="N232" s="6"/>
      <c r="O232" s="6"/>
      <c r="P232" s="137"/>
      <c r="Q232" s="6"/>
      <c r="R232" s="533">
        <f t="shared" si="20"/>
        <v>0</v>
      </c>
      <c r="S232" s="12">
        <f t="shared" si="21"/>
        <v>0</v>
      </c>
      <c r="T232" s="88">
        <f>S232*係数!$H$30</f>
        <v>0</v>
      </c>
      <c r="U232" s="12">
        <f t="shared" si="22"/>
        <v>0</v>
      </c>
      <c r="V232" s="545">
        <f>U232*係数!$C$30*0.0000258</f>
        <v>0</v>
      </c>
      <c r="W232" s="543">
        <f t="shared" si="23"/>
        <v>0</v>
      </c>
    </row>
    <row r="233" spans="2:23" x14ac:dyDescent="0.55000000000000004">
      <c r="B233" s="194" t="s">
        <v>702</v>
      </c>
      <c r="C233" s="25"/>
      <c r="D233" s="128"/>
      <c r="E233" s="6"/>
      <c r="F233" s="101"/>
      <c r="G233" s="101"/>
      <c r="H233" s="137"/>
      <c r="I233" s="6"/>
      <c r="J233" s="100">
        <f t="shared" si="18"/>
        <v>0</v>
      </c>
      <c r="K233" s="100">
        <f t="shared" si="19"/>
        <v>0</v>
      </c>
      <c r="L233" s="88">
        <f>K233*係数!$H$30</f>
        <v>0</v>
      </c>
      <c r="M233" s="25"/>
      <c r="N233" s="6"/>
      <c r="O233" s="6"/>
      <c r="P233" s="137"/>
      <c r="Q233" s="6"/>
      <c r="R233" s="533">
        <f t="shared" si="20"/>
        <v>0</v>
      </c>
      <c r="S233" s="12">
        <f t="shared" si="21"/>
        <v>0</v>
      </c>
      <c r="T233" s="88">
        <f>S233*係数!$H$30</f>
        <v>0</v>
      </c>
      <c r="U233" s="12">
        <f t="shared" si="22"/>
        <v>0</v>
      </c>
      <c r="V233" s="545">
        <f>U233*係数!$C$30*0.0000258</f>
        <v>0</v>
      </c>
      <c r="W233" s="543">
        <f t="shared" si="23"/>
        <v>0</v>
      </c>
    </row>
    <row r="234" spans="2:23" x14ac:dyDescent="0.55000000000000004">
      <c r="B234" s="194" t="s">
        <v>703</v>
      </c>
      <c r="C234" s="25"/>
      <c r="D234" s="128"/>
      <c r="E234" s="6"/>
      <c r="F234" s="101"/>
      <c r="G234" s="101"/>
      <c r="H234" s="137"/>
      <c r="I234" s="6"/>
      <c r="J234" s="100">
        <f t="shared" si="18"/>
        <v>0</v>
      </c>
      <c r="K234" s="100">
        <f t="shared" si="19"/>
        <v>0</v>
      </c>
      <c r="L234" s="88">
        <f>K234*係数!$H$30</f>
        <v>0</v>
      </c>
      <c r="M234" s="25"/>
      <c r="N234" s="6"/>
      <c r="O234" s="6"/>
      <c r="P234" s="137"/>
      <c r="Q234" s="6"/>
      <c r="R234" s="533">
        <f t="shared" si="20"/>
        <v>0</v>
      </c>
      <c r="S234" s="12">
        <f t="shared" si="21"/>
        <v>0</v>
      </c>
      <c r="T234" s="88">
        <f>S234*係数!$H$30</f>
        <v>0</v>
      </c>
      <c r="U234" s="12">
        <f t="shared" si="22"/>
        <v>0</v>
      </c>
      <c r="V234" s="545">
        <f>U234*係数!$C$30*0.0000258</f>
        <v>0</v>
      </c>
      <c r="W234" s="543">
        <f t="shared" si="23"/>
        <v>0</v>
      </c>
    </row>
    <row r="235" spans="2:23" x14ac:dyDescent="0.55000000000000004">
      <c r="B235" s="194" t="s">
        <v>704</v>
      </c>
      <c r="C235" s="25"/>
      <c r="D235" s="128"/>
      <c r="E235" s="6"/>
      <c r="F235" s="101"/>
      <c r="G235" s="101"/>
      <c r="H235" s="137"/>
      <c r="I235" s="6"/>
      <c r="J235" s="100">
        <f t="shared" si="18"/>
        <v>0</v>
      </c>
      <c r="K235" s="100">
        <f t="shared" si="19"/>
        <v>0</v>
      </c>
      <c r="L235" s="88">
        <f>K235*係数!$H$30</f>
        <v>0</v>
      </c>
      <c r="M235" s="25"/>
      <c r="N235" s="6"/>
      <c r="O235" s="6"/>
      <c r="P235" s="137"/>
      <c r="Q235" s="6"/>
      <c r="R235" s="533">
        <f t="shared" si="20"/>
        <v>0</v>
      </c>
      <c r="S235" s="12">
        <f t="shared" si="21"/>
        <v>0</v>
      </c>
      <c r="T235" s="88">
        <f>S235*係数!$H$30</f>
        <v>0</v>
      </c>
      <c r="U235" s="12">
        <f t="shared" si="22"/>
        <v>0</v>
      </c>
      <c r="V235" s="545">
        <f>U235*係数!$C$30*0.0000258</f>
        <v>0</v>
      </c>
      <c r="W235" s="543">
        <f t="shared" si="23"/>
        <v>0</v>
      </c>
    </row>
    <row r="236" spans="2:23" x14ac:dyDescent="0.55000000000000004">
      <c r="B236" s="194" t="s">
        <v>705</v>
      </c>
      <c r="C236" s="25"/>
      <c r="D236" s="128"/>
      <c r="E236" s="6"/>
      <c r="F236" s="101"/>
      <c r="G236" s="101"/>
      <c r="H236" s="137"/>
      <c r="I236" s="6"/>
      <c r="J236" s="100">
        <f t="shared" si="18"/>
        <v>0</v>
      </c>
      <c r="K236" s="100">
        <f t="shared" si="19"/>
        <v>0</v>
      </c>
      <c r="L236" s="88">
        <f>K236*係数!$H$30</f>
        <v>0</v>
      </c>
      <c r="M236" s="25"/>
      <c r="N236" s="6"/>
      <c r="O236" s="6"/>
      <c r="P236" s="137"/>
      <c r="Q236" s="6"/>
      <c r="R236" s="533">
        <f t="shared" si="20"/>
        <v>0</v>
      </c>
      <c r="S236" s="12">
        <f t="shared" si="21"/>
        <v>0</v>
      </c>
      <c r="T236" s="88">
        <f>S236*係数!$H$30</f>
        <v>0</v>
      </c>
      <c r="U236" s="12">
        <f t="shared" si="22"/>
        <v>0</v>
      </c>
      <c r="V236" s="545">
        <f>U236*係数!$C$30*0.0000258</f>
        <v>0</v>
      </c>
      <c r="W236" s="543">
        <f t="shared" si="23"/>
        <v>0</v>
      </c>
    </row>
    <row r="237" spans="2:23" x14ac:dyDescent="0.55000000000000004">
      <c r="B237" s="194" t="s">
        <v>706</v>
      </c>
      <c r="C237" s="25"/>
      <c r="D237" s="128"/>
      <c r="E237" s="6"/>
      <c r="F237" s="101"/>
      <c r="G237" s="101"/>
      <c r="H237" s="137"/>
      <c r="I237" s="6"/>
      <c r="J237" s="100">
        <f t="shared" si="18"/>
        <v>0</v>
      </c>
      <c r="K237" s="100">
        <f t="shared" si="19"/>
        <v>0</v>
      </c>
      <c r="L237" s="88">
        <f>K237*係数!$H$30</f>
        <v>0</v>
      </c>
      <c r="M237" s="25"/>
      <c r="N237" s="6"/>
      <c r="O237" s="6"/>
      <c r="P237" s="137"/>
      <c r="Q237" s="6"/>
      <c r="R237" s="533">
        <f t="shared" si="20"/>
        <v>0</v>
      </c>
      <c r="S237" s="12">
        <f t="shared" si="21"/>
        <v>0</v>
      </c>
      <c r="T237" s="88">
        <f>S237*係数!$H$30</f>
        <v>0</v>
      </c>
      <c r="U237" s="12">
        <f t="shared" si="22"/>
        <v>0</v>
      </c>
      <c r="V237" s="545">
        <f>U237*係数!$C$30*0.0000258</f>
        <v>0</v>
      </c>
      <c r="W237" s="543">
        <f t="shared" si="23"/>
        <v>0</v>
      </c>
    </row>
    <row r="238" spans="2:23" x14ac:dyDescent="0.55000000000000004">
      <c r="B238" s="194" t="s">
        <v>707</v>
      </c>
      <c r="C238" s="25"/>
      <c r="D238" s="128"/>
      <c r="E238" s="6"/>
      <c r="F238" s="101"/>
      <c r="G238" s="101"/>
      <c r="H238" s="137"/>
      <c r="I238" s="6"/>
      <c r="J238" s="100">
        <f t="shared" si="18"/>
        <v>0</v>
      </c>
      <c r="K238" s="100">
        <f t="shared" si="19"/>
        <v>0</v>
      </c>
      <c r="L238" s="88">
        <f>K238*係数!$H$30</f>
        <v>0</v>
      </c>
      <c r="M238" s="25"/>
      <c r="N238" s="6"/>
      <c r="O238" s="6"/>
      <c r="P238" s="137"/>
      <c r="Q238" s="6"/>
      <c r="R238" s="533">
        <f t="shared" si="20"/>
        <v>0</v>
      </c>
      <c r="S238" s="12">
        <f t="shared" si="21"/>
        <v>0</v>
      </c>
      <c r="T238" s="88">
        <f>S238*係数!$H$30</f>
        <v>0</v>
      </c>
      <c r="U238" s="12">
        <f t="shared" si="22"/>
        <v>0</v>
      </c>
      <c r="V238" s="545">
        <f>U238*係数!$C$30*0.0000258</f>
        <v>0</v>
      </c>
      <c r="W238" s="543">
        <f t="shared" si="23"/>
        <v>0</v>
      </c>
    </row>
    <row r="239" spans="2:23" x14ac:dyDescent="0.55000000000000004">
      <c r="B239" s="194" t="s">
        <v>708</v>
      </c>
      <c r="C239" s="25"/>
      <c r="D239" s="128"/>
      <c r="E239" s="6"/>
      <c r="F239" s="101"/>
      <c r="G239" s="101"/>
      <c r="H239" s="137"/>
      <c r="I239" s="6"/>
      <c r="J239" s="100">
        <f t="shared" si="18"/>
        <v>0</v>
      </c>
      <c r="K239" s="100">
        <f t="shared" si="19"/>
        <v>0</v>
      </c>
      <c r="L239" s="88">
        <f>K239*係数!$H$30</f>
        <v>0</v>
      </c>
      <c r="M239" s="25"/>
      <c r="N239" s="6"/>
      <c r="O239" s="6"/>
      <c r="P239" s="137"/>
      <c r="Q239" s="6"/>
      <c r="R239" s="533">
        <f t="shared" si="20"/>
        <v>0</v>
      </c>
      <c r="S239" s="12">
        <f t="shared" si="21"/>
        <v>0</v>
      </c>
      <c r="T239" s="88">
        <f>S239*係数!$H$30</f>
        <v>0</v>
      </c>
      <c r="U239" s="12">
        <f t="shared" si="22"/>
        <v>0</v>
      </c>
      <c r="V239" s="545">
        <f>U239*係数!$C$30*0.0000258</f>
        <v>0</v>
      </c>
      <c r="W239" s="543">
        <f t="shared" si="23"/>
        <v>0</v>
      </c>
    </row>
    <row r="240" spans="2:23" x14ac:dyDescent="0.55000000000000004">
      <c r="B240" s="194" t="s">
        <v>709</v>
      </c>
      <c r="C240" s="25"/>
      <c r="D240" s="128"/>
      <c r="E240" s="6"/>
      <c r="F240" s="101"/>
      <c r="G240" s="101"/>
      <c r="H240" s="137"/>
      <c r="I240" s="6"/>
      <c r="J240" s="100">
        <f t="shared" si="18"/>
        <v>0</v>
      </c>
      <c r="K240" s="100">
        <f t="shared" si="19"/>
        <v>0</v>
      </c>
      <c r="L240" s="88">
        <f>K240*係数!$H$30</f>
        <v>0</v>
      </c>
      <c r="M240" s="25"/>
      <c r="N240" s="6"/>
      <c r="O240" s="6"/>
      <c r="P240" s="137"/>
      <c r="Q240" s="6"/>
      <c r="R240" s="533">
        <f t="shared" si="20"/>
        <v>0</v>
      </c>
      <c r="S240" s="12">
        <f t="shared" si="21"/>
        <v>0</v>
      </c>
      <c r="T240" s="88">
        <f>S240*係数!$H$30</f>
        <v>0</v>
      </c>
      <c r="U240" s="12">
        <f t="shared" si="22"/>
        <v>0</v>
      </c>
      <c r="V240" s="545">
        <f>U240*係数!$C$30*0.0000258</f>
        <v>0</v>
      </c>
      <c r="W240" s="543">
        <f t="shared" si="23"/>
        <v>0</v>
      </c>
    </row>
    <row r="241" spans="2:23" x14ac:dyDescent="0.55000000000000004">
      <c r="B241" s="194" t="s">
        <v>710</v>
      </c>
      <c r="C241" s="25"/>
      <c r="D241" s="128"/>
      <c r="E241" s="6"/>
      <c r="F241" s="101"/>
      <c r="G241" s="101"/>
      <c r="H241" s="137"/>
      <c r="I241" s="6"/>
      <c r="J241" s="100">
        <f t="shared" si="18"/>
        <v>0</v>
      </c>
      <c r="K241" s="100">
        <f t="shared" si="19"/>
        <v>0</v>
      </c>
      <c r="L241" s="88">
        <f>K241*係数!$H$30</f>
        <v>0</v>
      </c>
      <c r="M241" s="25"/>
      <c r="N241" s="6"/>
      <c r="O241" s="6"/>
      <c r="P241" s="137"/>
      <c r="Q241" s="6"/>
      <c r="R241" s="533">
        <f t="shared" si="20"/>
        <v>0</v>
      </c>
      <c r="S241" s="12">
        <f t="shared" si="21"/>
        <v>0</v>
      </c>
      <c r="T241" s="88">
        <f>S241*係数!$H$30</f>
        <v>0</v>
      </c>
      <c r="U241" s="12">
        <f t="shared" si="22"/>
        <v>0</v>
      </c>
      <c r="V241" s="545">
        <f>U241*係数!$C$30*0.0000258</f>
        <v>0</v>
      </c>
      <c r="W241" s="543">
        <f t="shared" si="23"/>
        <v>0</v>
      </c>
    </row>
    <row r="242" spans="2:23" x14ac:dyDescent="0.55000000000000004">
      <c r="B242" s="194" t="s">
        <v>711</v>
      </c>
      <c r="C242" s="25"/>
      <c r="D242" s="128"/>
      <c r="E242" s="6"/>
      <c r="F242" s="101"/>
      <c r="G242" s="101"/>
      <c r="H242" s="137"/>
      <c r="I242" s="6"/>
      <c r="J242" s="100">
        <f t="shared" si="18"/>
        <v>0</v>
      </c>
      <c r="K242" s="100">
        <f t="shared" si="19"/>
        <v>0</v>
      </c>
      <c r="L242" s="88">
        <f>K242*係数!$H$30</f>
        <v>0</v>
      </c>
      <c r="M242" s="25"/>
      <c r="N242" s="6"/>
      <c r="O242" s="6"/>
      <c r="P242" s="137"/>
      <c r="Q242" s="6"/>
      <c r="R242" s="533">
        <f t="shared" si="20"/>
        <v>0</v>
      </c>
      <c r="S242" s="12">
        <f t="shared" si="21"/>
        <v>0</v>
      </c>
      <c r="T242" s="88">
        <f>S242*係数!$H$30</f>
        <v>0</v>
      </c>
      <c r="U242" s="12">
        <f t="shared" si="22"/>
        <v>0</v>
      </c>
      <c r="V242" s="545">
        <f>U242*係数!$C$30*0.0000258</f>
        <v>0</v>
      </c>
      <c r="W242" s="543">
        <f t="shared" si="23"/>
        <v>0</v>
      </c>
    </row>
    <row r="243" spans="2:23" x14ac:dyDescent="0.55000000000000004">
      <c r="B243" s="194" t="s">
        <v>712</v>
      </c>
      <c r="C243" s="25"/>
      <c r="D243" s="128"/>
      <c r="E243" s="6"/>
      <c r="F243" s="101"/>
      <c r="G243" s="101"/>
      <c r="H243" s="137"/>
      <c r="I243" s="6"/>
      <c r="J243" s="100">
        <f t="shared" si="18"/>
        <v>0</v>
      </c>
      <c r="K243" s="100">
        <f t="shared" si="19"/>
        <v>0</v>
      </c>
      <c r="L243" s="88">
        <f>K243*係数!$H$30</f>
        <v>0</v>
      </c>
      <c r="M243" s="25"/>
      <c r="N243" s="6"/>
      <c r="O243" s="6"/>
      <c r="P243" s="137"/>
      <c r="Q243" s="6"/>
      <c r="R243" s="533">
        <f t="shared" si="20"/>
        <v>0</v>
      </c>
      <c r="S243" s="12">
        <f t="shared" si="21"/>
        <v>0</v>
      </c>
      <c r="T243" s="88">
        <f>S243*係数!$H$30</f>
        <v>0</v>
      </c>
      <c r="U243" s="12">
        <f t="shared" si="22"/>
        <v>0</v>
      </c>
      <c r="V243" s="545">
        <f>U243*係数!$C$30*0.0000258</f>
        <v>0</v>
      </c>
      <c r="W243" s="543">
        <f t="shared" si="23"/>
        <v>0</v>
      </c>
    </row>
    <row r="244" spans="2:23" x14ac:dyDescent="0.55000000000000004">
      <c r="B244" s="194" t="s">
        <v>713</v>
      </c>
      <c r="C244" s="25"/>
      <c r="D244" s="128"/>
      <c r="E244" s="6"/>
      <c r="F244" s="101"/>
      <c r="G244" s="101"/>
      <c r="H244" s="137"/>
      <c r="I244" s="6"/>
      <c r="J244" s="100">
        <f t="shared" si="18"/>
        <v>0</v>
      </c>
      <c r="K244" s="100">
        <f t="shared" si="19"/>
        <v>0</v>
      </c>
      <c r="L244" s="88">
        <f>K244*係数!$H$30</f>
        <v>0</v>
      </c>
      <c r="M244" s="25"/>
      <c r="N244" s="6"/>
      <c r="O244" s="6"/>
      <c r="P244" s="137"/>
      <c r="Q244" s="6"/>
      <c r="R244" s="533">
        <f t="shared" si="20"/>
        <v>0</v>
      </c>
      <c r="S244" s="12">
        <f t="shared" si="21"/>
        <v>0</v>
      </c>
      <c r="T244" s="88">
        <f>S244*係数!$H$30</f>
        <v>0</v>
      </c>
      <c r="U244" s="12">
        <f t="shared" si="22"/>
        <v>0</v>
      </c>
      <c r="V244" s="545">
        <f>U244*係数!$C$30*0.0000258</f>
        <v>0</v>
      </c>
      <c r="W244" s="543">
        <f t="shared" si="23"/>
        <v>0</v>
      </c>
    </row>
    <row r="245" spans="2:23" x14ac:dyDescent="0.55000000000000004">
      <c r="B245" s="194" t="s">
        <v>714</v>
      </c>
      <c r="C245" s="25"/>
      <c r="D245" s="128"/>
      <c r="E245" s="6"/>
      <c r="F245" s="101"/>
      <c r="G245" s="101"/>
      <c r="H245" s="137"/>
      <c r="I245" s="6"/>
      <c r="J245" s="100">
        <f t="shared" si="18"/>
        <v>0</v>
      </c>
      <c r="K245" s="100">
        <f t="shared" si="19"/>
        <v>0</v>
      </c>
      <c r="L245" s="88">
        <f>K245*係数!$H$30</f>
        <v>0</v>
      </c>
      <c r="M245" s="25"/>
      <c r="N245" s="6"/>
      <c r="O245" s="6"/>
      <c r="P245" s="137"/>
      <c r="Q245" s="6"/>
      <c r="R245" s="533">
        <f t="shared" si="20"/>
        <v>0</v>
      </c>
      <c r="S245" s="12">
        <f t="shared" si="21"/>
        <v>0</v>
      </c>
      <c r="T245" s="88">
        <f>S245*係数!$H$30</f>
        <v>0</v>
      </c>
      <c r="U245" s="12">
        <f t="shared" si="22"/>
        <v>0</v>
      </c>
      <c r="V245" s="545">
        <f>U245*係数!$C$30*0.0000258</f>
        <v>0</v>
      </c>
      <c r="W245" s="543">
        <f t="shared" si="23"/>
        <v>0</v>
      </c>
    </row>
    <row r="246" spans="2:23" x14ac:dyDescent="0.55000000000000004">
      <c r="B246" s="194" t="s">
        <v>715</v>
      </c>
      <c r="C246" s="25"/>
      <c r="D246" s="128"/>
      <c r="E246" s="6"/>
      <c r="F246" s="101"/>
      <c r="G246" s="101"/>
      <c r="H246" s="137"/>
      <c r="I246" s="6"/>
      <c r="J246" s="100">
        <f t="shared" si="18"/>
        <v>0</v>
      </c>
      <c r="K246" s="100">
        <f t="shared" si="19"/>
        <v>0</v>
      </c>
      <c r="L246" s="88">
        <f>K246*係数!$H$30</f>
        <v>0</v>
      </c>
      <c r="M246" s="25"/>
      <c r="N246" s="6"/>
      <c r="O246" s="6"/>
      <c r="P246" s="137"/>
      <c r="Q246" s="6"/>
      <c r="R246" s="533">
        <f t="shared" si="20"/>
        <v>0</v>
      </c>
      <c r="S246" s="12">
        <f t="shared" si="21"/>
        <v>0</v>
      </c>
      <c r="T246" s="88">
        <f>S246*係数!$H$30</f>
        <v>0</v>
      </c>
      <c r="U246" s="12">
        <f t="shared" si="22"/>
        <v>0</v>
      </c>
      <c r="V246" s="545">
        <f>U246*係数!$C$30*0.0000258</f>
        <v>0</v>
      </c>
      <c r="W246" s="543">
        <f t="shared" si="23"/>
        <v>0</v>
      </c>
    </row>
    <row r="247" spans="2:23" x14ac:dyDescent="0.55000000000000004">
      <c r="B247" s="194" t="s">
        <v>716</v>
      </c>
      <c r="C247" s="25"/>
      <c r="D247" s="128"/>
      <c r="E247" s="6"/>
      <c r="F247" s="101"/>
      <c r="G247" s="101"/>
      <c r="H247" s="137"/>
      <c r="I247" s="6"/>
      <c r="J247" s="100">
        <f t="shared" si="18"/>
        <v>0</v>
      </c>
      <c r="K247" s="100">
        <f t="shared" si="19"/>
        <v>0</v>
      </c>
      <c r="L247" s="88">
        <f>K247*係数!$H$30</f>
        <v>0</v>
      </c>
      <c r="M247" s="25"/>
      <c r="N247" s="6"/>
      <c r="O247" s="6"/>
      <c r="P247" s="137"/>
      <c r="Q247" s="6"/>
      <c r="R247" s="533">
        <f t="shared" si="20"/>
        <v>0</v>
      </c>
      <c r="S247" s="12">
        <f t="shared" si="21"/>
        <v>0</v>
      </c>
      <c r="T247" s="88">
        <f>S247*係数!$H$30</f>
        <v>0</v>
      </c>
      <c r="U247" s="12">
        <f t="shared" si="22"/>
        <v>0</v>
      </c>
      <c r="V247" s="545">
        <f>U247*係数!$C$30*0.0000258</f>
        <v>0</v>
      </c>
      <c r="W247" s="543">
        <f t="shared" si="23"/>
        <v>0</v>
      </c>
    </row>
    <row r="248" spans="2:23" x14ac:dyDescent="0.55000000000000004">
      <c r="B248" s="194" t="s">
        <v>717</v>
      </c>
      <c r="C248" s="25"/>
      <c r="D248" s="128"/>
      <c r="E248" s="6"/>
      <c r="F248" s="101"/>
      <c r="G248" s="101"/>
      <c r="H248" s="137"/>
      <c r="I248" s="6"/>
      <c r="J248" s="100">
        <f t="shared" si="18"/>
        <v>0</v>
      </c>
      <c r="K248" s="100">
        <f t="shared" si="19"/>
        <v>0</v>
      </c>
      <c r="L248" s="88">
        <f>K248*係数!$H$30</f>
        <v>0</v>
      </c>
      <c r="M248" s="25"/>
      <c r="N248" s="6"/>
      <c r="O248" s="6"/>
      <c r="P248" s="137"/>
      <c r="Q248" s="6"/>
      <c r="R248" s="533">
        <f t="shared" si="20"/>
        <v>0</v>
      </c>
      <c r="S248" s="12">
        <f t="shared" si="21"/>
        <v>0</v>
      </c>
      <c r="T248" s="88">
        <f>S248*係数!$H$30</f>
        <v>0</v>
      </c>
      <c r="U248" s="12">
        <f t="shared" si="22"/>
        <v>0</v>
      </c>
      <c r="V248" s="545">
        <f>U248*係数!$C$30*0.0000258</f>
        <v>0</v>
      </c>
      <c r="W248" s="543">
        <f t="shared" si="23"/>
        <v>0</v>
      </c>
    </row>
    <row r="249" spans="2:23" x14ac:dyDescent="0.55000000000000004">
      <c r="B249" s="194" t="s">
        <v>718</v>
      </c>
      <c r="C249" s="25"/>
      <c r="D249" s="128"/>
      <c r="E249" s="6"/>
      <c r="F249" s="101"/>
      <c r="G249" s="101"/>
      <c r="H249" s="137"/>
      <c r="I249" s="6"/>
      <c r="J249" s="100">
        <f t="shared" si="18"/>
        <v>0</v>
      </c>
      <c r="K249" s="100">
        <f t="shared" si="19"/>
        <v>0</v>
      </c>
      <c r="L249" s="88">
        <f>K249*係数!$H$30</f>
        <v>0</v>
      </c>
      <c r="M249" s="25"/>
      <c r="N249" s="6"/>
      <c r="O249" s="6"/>
      <c r="P249" s="137"/>
      <c r="Q249" s="6"/>
      <c r="R249" s="533">
        <f t="shared" si="20"/>
        <v>0</v>
      </c>
      <c r="S249" s="12">
        <f t="shared" si="21"/>
        <v>0</v>
      </c>
      <c r="T249" s="88">
        <f>S249*係数!$H$30</f>
        <v>0</v>
      </c>
      <c r="U249" s="12">
        <f t="shared" si="22"/>
        <v>0</v>
      </c>
      <c r="V249" s="545">
        <f>U249*係数!$C$30*0.0000258</f>
        <v>0</v>
      </c>
      <c r="W249" s="543">
        <f t="shared" si="23"/>
        <v>0</v>
      </c>
    </row>
    <row r="250" spans="2:23" x14ac:dyDescent="0.55000000000000004">
      <c r="B250" s="194" t="s">
        <v>719</v>
      </c>
      <c r="C250" s="25"/>
      <c r="D250" s="128"/>
      <c r="E250" s="6"/>
      <c r="F250" s="101"/>
      <c r="G250" s="101"/>
      <c r="H250" s="137"/>
      <c r="I250" s="6"/>
      <c r="J250" s="100">
        <f t="shared" si="18"/>
        <v>0</v>
      </c>
      <c r="K250" s="100">
        <f t="shared" si="19"/>
        <v>0</v>
      </c>
      <c r="L250" s="88">
        <f>K250*係数!$H$30</f>
        <v>0</v>
      </c>
      <c r="M250" s="25"/>
      <c r="N250" s="6"/>
      <c r="O250" s="6"/>
      <c r="P250" s="137"/>
      <c r="Q250" s="6"/>
      <c r="R250" s="533">
        <f t="shared" si="20"/>
        <v>0</v>
      </c>
      <c r="S250" s="12">
        <f t="shared" si="21"/>
        <v>0</v>
      </c>
      <c r="T250" s="88">
        <f>S250*係数!$H$30</f>
        <v>0</v>
      </c>
      <c r="U250" s="12">
        <f t="shared" si="22"/>
        <v>0</v>
      </c>
      <c r="V250" s="545">
        <f>U250*係数!$C$30*0.0000258</f>
        <v>0</v>
      </c>
      <c r="W250" s="543">
        <f t="shared" si="23"/>
        <v>0</v>
      </c>
    </row>
    <row r="251" spans="2:23" x14ac:dyDescent="0.55000000000000004">
      <c r="B251" s="194" t="s">
        <v>720</v>
      </c>
      <c r="C251" s="25"/>
      <c r="D251" s="128"/>
      <c r="E251" s="6"/>
      <c r="F251" s="101"/>
      <c r="G251" s="101"/>
      <c r="H251" s="137"/>
      <c r="I251" s="6"/>
      <c r="J251" s="100">
        <f t="shared" si="18"/>
        <v>0</v>
      </c>
      <c r="K251" s="100">
        <f t="shared" si="19"/>
        <v>0</v>
      </c>
      <c r="L251" s="88">
        <f>K251*係数!$H$30</f>
        <v>0</v>
      </c>
      <c r="M251" s="25"/>
      <c r="N251" s="6"/>
      <c r="O251" s="6"/>
      <c r="P251" s="137"/>
      <c r="Q251" s="6"/>
      <c r="R251" s="533">
        <f t="shared" si="20"/>
        <v>0</v>
      </c>
      <c r="S251" s="12">
        <f t="shared" si="21"/>
        <v>0</v>
      </c>
      <c r="T251" s="88">
        <f>S251*係数!$H$30</f>
        <v>0</v>
      </c>
      <c r="U251" s="12">
        <f t="shared" si="22"/>
        <v>0</v>
      </c>
      <c r="V251" s="545">
        <f>U251*係数!$C$30*0.0000258</f>
        <v>0</v>
      </c>
      <c r="W251" s="543">
        <f t="shared" si="23"/>
        <v>0</v>
      </c>
    </row>
    <row r="252" spans="2:23" x14ac:dyDescent="0.55000000000000004">
      <c r="B252" s="194" t="s">
        <v>721</v>
      </c>
      <c r="C252" s="25"/>
      <c r="D252" s="128"/>
      <c r="E252" s="6"/>
      <c r="F252" s="101"/>
      <c r="G252" s="101"/>
      <c r="H252" s="137"/>
      <c r="I252" s="6"/>
      <c r="J252" s="100">
        <f t="shared" si="18"/>
        <v>0</v>
      </c>
      <c r="K252" s="100">
        <f t="shared" si="19"/>
        <v>0</v>
      </c>
      <c r="L252" s="88">
        <f>K252*係数!$H$30</f>
        <v>0</v>
      </c>
      <c r="M252" s="25"/>
      <c r="N252" s="6"/>
      <c r="O252" s="6"/>
      <c r="P252" s="137"/>
      <c r="Q252" s="6"/>
      <c r="R252" s="533">
        <f t="shared" si="20"/>
        <v>0</v>
      </c>
      <c r="S252" s="12">
        <f t="shared" si="21"/>
        <v>0</v>
      </c>
      <c r="T252" s="88">
        <f>S252*係数!$H$30</f>
        <v>0</v>
      </c>
      <c r="U252" s="12">
        <f t="shared" si="22"/>
        <v>0</v>
      </c>
      <c r="V252" s="545">
        <f>U252*係数!$C$30*0.0000258</f>
        <v>0</v>
      </c>
      <c r="W252" s="543">
        <f t="shared" si="23"/>
        <v>0</v>
      </c>
    </row>
    <row r="253" spans="2:23" x14ac:dyDescent="0.55000000000000004">
      <c r="B253" s="194" t="s">
        <v>722</v>
      </c>
      <c r="C253" s="25"/>
      <c r="D253" s="128"/>
      <c r="E253" s="6"/>
      <c r="F253" s="101"/>
      <c r="G253" s="101"/>
      <c r="H253" s="137"/>
      <c r="I253" s="6"/>
      <c r="J253" s="100">
        <f t="shared" si="18"/>
        <v>0</v>
      </c>
      <c r="K253" s="100">
        <f t="shared" si="19"/>
        <v>0</v>
      </c>
      <c r="L253" s="88">
        <f>K253*係数!$H$30</f>
        <v>0</v>
      </c>
      <c r="M253" s="25"/>
      <c r="N253" s="6"/>
      <c r="O253" s="6"/>
      <c r="P253" s="137"/>
      <c r="Q253" s="6"/>
      <c r="R253" s="533">
        <f t="shared" si="20"/>
        <v>0</v>
      </c>
      <c r="S253" s="12">
        <f t="shared" si="21"/>
        <v>0</v>
      </c>
      <c r="T253" s="88">
        <f>S253*係数!$H$30</f>
        <v>0</v>
      </c>
      <c r="U253" s="12">
        <f t="shared" si="22"/>
        <v>0</v>
      </c>
      <c r="V253" s="545">
        <f>U253*係数!$C$30*0.0000258</f>
        <v>0</v>
      </c>
      <c r="W253" s="543">
        <f t="shared" si="23"/>
        <v>0</v>
      </c>
    </row>
    <row r="254" spans="2:23" x14ac:dyDescent="0.55000000000000004">
      <c r="B254" s="194" t="s">
        <v>723</v>
      </c>
      <c r="C254" s="25"/>
      <c r="D254" s="128"/>
      <c r="E254" s="6"/>
      <c r="F254" s="101"/>
      <c r="G254" s="101"/>
      <c r="H254" s="137"/>
      <c r="I254" s="6"/>
      <c r="J254" s="100">
        <f t="shared" si="18"/>
        <v>0</v>
      </c>
      <c r="K254" s="100">
        <f t="shared" si="19"/>
        <v>0</v>
      </c>
      <c r="L254" s="88">
        <f>K254*係数!$H$30</f>
        <v>0</v>
      </c>
      <c r="M254" s="25"/>
      <c r="N254" s="6"/>
      <c r="O254" s="6"/>
      <c r="P254" s="137"/>
      <c r="Q254" s="6"/>
      <c r="R254" s="533">
        <f t="shared" si="20"/>
        <v>0</v>
      </c>
      <c r="S254" s="12">
        <f t="shared" si="21"/>
        <v>0</v>
      </c>
      <c r="T254" s="88">
        <f>S254*係数!$H$30</f>
        <v>0</v>
      </c>
      <c r="U254" s="12">
        <f t="shared" si="22"/>
        <v>0</v>
      </c>
      <c r="V254" s="545">
        <f>U254*係数!$C$30*0.0000258</f>
        <v>0</v>
      </c>
      <c r="W254" s="543">
        <f t="shared" si="23"/>
        <v>0</v>
      </c>
    </row>
    <row r="255" spans="2:23" x14ac:dyDescent="0.55000000000000004">
      <c r="B255" s="194" t="s">
        <v>724</v>
      </c>
      <c r="C255" s="25"/>
      <c r="D255" s="128"/>
      <c r="E255" s="6"/>
      <c r="F255" s="101"/>
      <c r="G255" s="101"/>
      <c r="H255" s="137"/>
      <c r="I255" s="6"/>
      <c r="J255" s="100">
        <f t="shared" si="18"/>
        <v>0</v>
      </c>
      <c r="K255" s="100">
        <f t="shared" si="19"/>
        <v>0</v>
      </c>
      <c r="L255" s="88">
        <f>K255*係数!$H$30</f>
        <v>0</v>
      </c>
      <c r="M255" s="25"/>
      <c r="N255" s="6"/>
      <c r="O255" s="6"/>
      <c r="P255" s="137"/>
      <c r="Q255" s="6"/>
      <c r="R255" s="533">
        <f t="shared" si="20"/>
        <v>0</v>
      </c>
      <c r="S255" s="12">
        <f t="shared" si="21"/>
        <v>0</v>
      </c>
      <c r="T255" s="88">
        <f>S255*係数!$H$30</f>
        <v>0</v>
      </c>
      <c r="U255" s="12">
        <f t="shared" si="22"/>
        <v>0</v>
      </c>
      <c r="V255" s="545">
        <f>U255*係数!$C$30*0.0000258</f>
        <v>0</v>
      </c>
      <c r="W255" s="543">
        <f t="shared" si="23"/>
        <v>0</v>
      </c>
    </row>
    <row r="256" spans="2:23" x14ac:dyDescent="0.55000000000000004">
      <c r="B256" s="194" t="s">
        <v>725</v>
      </c>
      <c r="C256" s="25"/>
      <c r="D256" s="128"/>
      <c r="E256" s="6"/>
      <c r="F256" s="101"/>
      <c r="G256" s="101"/>
      <c r="H256" s="137"/>
      <c r="I256" s="6"/>
      <c r="J256" s="100">
        <f t="shared" si="18"/>
        <v>0</v>
      </c>
      <c r="K256" s="100">
        <f t="shared" si="19"/>
        <v>0</v>
      </c>
      <c r="L256" s="88">
        <f>K256*係数!$H$30</f>
        <v>0</v>
      </c>
      <c r="M256" s="25"/>
      <c r="N256" s="6"/>
      <c r="O256" s="6"/>
      <c r="P256" s="137"/>
      <c r="Q256" s="6"/>
      <c r="R256" s="533">
        <f t="shared" si="20"/>
        <v>0</v>
      </c>
      <c r="S256" s="12">
        <f t="shared" si="21"/>
        <v>0</v>
      </c>
      <c r="T256" s="88">
        <f>S256*係数!$H$30</f>
        <v>0</v>
      </c>
      <c r="U256" s="12">
        <f t="shared" si="22"/>
        <v>0</v>
      </c>
      <c r="V256" s="545">
        <f>U256*係数!$C$30*0.0000258</f>
        <v>0</v>
      </c>
      <c r="W256" s="543">
        <f t="shared" si="23"/>
        <v>0</v>
      </c>
    </row>
    <row r="257" spans="2:23" x14ac:dyDescent="0.55000000000000004">
      <c r="B257" s="194" t="s">
        <v>726</v>
      </c>
      <c r="C257" s="25"/>
      <c r="D257" s="128"/>
      <c r="E257" s="6"/>
      <c r="F257" s="101"/>
      <c r="G257" s="101"/>
      <c r="H257" s="137"/>
      <c r="I257" s="6"/>
      <c r="J257" s="100">
        <f t="shared" si="18"/>
        <v>0</v>
      </c>
      <c r="K257" s="100">
        <f t="shared" si="19"/>
        <v>0</v>
      </c>
      <c r="L257" s="88">
        <f>K257*係数!$H$30</f>
        <v>0</v>
      </c>
      <c r="M257" s="25"/>
      <c r="N257" s="6"/>
      <c r="O257" s="6"/>
      <c r="P257" s="137"/>
      <c r="Q257" s="6"/>
      <c r="R257" s="533">
        <f t="shared" si="20"/>
        <v>0</v>
      </c>
      <c r="S257" s="12">
        <f t="shared" si="21"/>
        <v>0</v>
      </c>
      <c r="T257" s="88">
        <f>S257*係数!$H$30</f>
        <v>0</v>
      </c>
      <c r="U257" s="12">
        <f t="shared" si="22"/>
        <v>0</v>
      </c>
      <c r="V257" s="545">
        <f>U257*係数!$C$30*0.0000258</f>
        <v>0</v>
      </c>
      <c r="W257" s="543">
        <f t="shared" si="23"/>
        <v>0</v>
      </c>
    </row>
    <row r="258" spans="2:23" x14ac:dyDescent="0.55000000000000004">
      <c r="B258" s="194" t="s">
        <v>727</v>
      </c>
      <c r="C258" s="25"/>
      <c r="D258" s="128"/>
      <c r="E258" s="6"/>
      <c r="F258" s="101"/>
      <c r="G258" s="101"/>
      <c r="H258" s="137"/>
      <c r="I258" s="6"/>
      <c r="J258" s="100">
        <f t="shared" si="18"/>
        <v>0</v>
      </c>
      <c r="K258" s="100">
        <f t="shared" si="19"/>
        <v>0</v>
      </c>
      <c r="L258" s="88">
        <f>K258*係数!$H$30</f>
        <v>0</v>
      </c>
      <c r="M258" s="25"/>
      <c r="N258" s="6"/>
      <c r="O258" s="6"/>
      <c r="P258" s="137"/>
      <c r="Q258" s="6"/>
      <c r="R258" s="533">
        <f t="shared" si="20"/>
        <v>0</v>
      </c>
      <c r="S258" s="12">
        <f t="shared" si="21"/>
        <v>0</v>
      </c>
      <c r="T258" s="88">
        <f>S258*係数!$H$30</f>
        <v>0</v>
      </c>
      <c r="U258" s="12">
        <f t="shared" si="22"/>
        <v>0</v>
      </c>
      <c r="V258" s="545">
        <f>U258*係数!$C$30*0.0000258</f>
        <v>0</v>
      </c>
      <c r="W258" s="543">
        <f t="shared" si="23"/>
        <v>0</v>
      </c>
    </row>
    <row r="259" spans="2:23" x14ac:dyDescent="0.55000000000000004">
      <c r="B259" s="194" t="s">
        <v>728</v>
      </c>
      <c r="C259" s="25"/>
      <c r="D259" s="128"/>
      <c r="E259" s="6"/>
      <c r="F259" s="101"/>
      <c r="G259" s="101"/>
      <c r="H259" s="137"/>
      <c r="I259" s="6"/>
      <c r="J259" s="100">
        <f t="shared" si="18"/>
        <v>0</v>
      </c>
      <c r="K259" s="100">
        <f t="shared" si="19"/>
        <v>0</v>
      </c>
      <c r="L259" s="88">
        <f>K259*係数!$H$30</f>
        <v>0</v>
      </c>
      <c r="M259" s="25"/>
      <c r="N259" s="6"/>
      <c r="O259" s="6"/>
      <c r="P259" s="137"/>
      <c r="Q259" s="6"/>
      <c r="R259" s="533">
        <f t="shared" si="20"/>
        <v>0</v>
      </c>
      <c r="S259" s="12">
        <f t="shared" si="21"/>
        <v>0</v>
      </c>
      <c r="T259" s="88">
        <f>S259*係数!$H$30</f>
        <v>0</v>
      </c>
      <c r="U259" s="12">
        <f t="shared" si="22"/>
        <v>0</v>
      </c>
      <c r="V259" s="545">
        <f>U259*係数!$C$30*0.0000258</f>
        <v>0</v>
      </c>
      <c r="W259" s="543">
        <f t="shared" si="23"/>
        <v>0</v>
      </c>
    </row>
    <row r="260" spans="2:23" x14ac:dyDescent="0.55000000000000004">
      <c r="B260" s="194" t="s">
        <v>729</v>
      </c>
      <c r="C260" s="25"/>
      <c r="D260" s="128"/>
      <c r="E260" s="6"/>
      <c r="F260" s="101"/>
      <c r="G260" s="101"/>
      <c r="H260" s="137"/>
      <c r="I260" s="6"/>
      <c r="J260" s="100">
        <f t="shared" ref="J260:J323" si="24">IF(H260="",F260*G260,F260*G260*I260/100)</f>
        <v>0</v>
      </c>
      <c r="K260" s="100">
        <f t="shared" ref="K260:K323" si="25">D260*E260*J260/1000</f>
        <v>0</v>
      </c>
      <c r="L260" s="88">
        <f>K260*係数!$H$30</f>
        <v>0</v>
      </c>
      <c r="M260" s="25"/>
      <c r="N260" s="6"/>
      <c r="O260" s="6"/>
      <c r="P260" s="137"/>
      <c r="Q260" s="6"/>
      <c r="R260" s="533">
        <f t="shared" si="20"/>
        <v>0</v>
      </c>
      <c r="S260" s="12">
        <f t="shared" si="21"/>
        <v>0</v>
      </c>
      <c r="T260" s="88">
        <f>S260*係数!$H$30</f>
        <v>0</v>
      </c>
      <c r="U260" s="12">
        <f t="shared" si="22"/>
        <v>0</v>
      </c>
      <c r="V260" s="545">
        <f>U260*係数!$C$30*0.0000258</f>
        <v>0</v>
      </c>
      <c r="W260" s="543">
        <f t="shared" si="23"/>
        <v>0</v>
      </c>
    </row>
    <row r="261" spans="2:23" x14ac:dyDescent="0.55000000000000004">
      <c r="B261" s="194" t="s">
        <v>730</v>
      </c>
      <c r="C261" s="25"/>
      <c r="D261" s="128"/>
      <c r="E261" s="6"/>
      <c r="F261" s="101"/>
      <c r="G261" s="101"/>
      <c r="H261" s="137"/>
      <c r="I261" s="6"/>
      <c r="J261" s="100">
        <f t="shared" si="24"/>
        <v>0</v>
      </c>
      <c r="K261" s="100">
        <f t="shared" si="25"/>
        <v>0</v>
      </c>
      <c r="L261" s="88">
        <f>K261*係数!$H$30</f>
        <v>0</v>
      </c>
      <c r="M261" s="25"/>
      <c r="N261" s="6"/>
      <c r="O261" s="6"/>
      <c r="P261" s="137"/>
      <c r="Q261" s="6"/>
      <c r="R261" s="533">
        <f t="shared" si="20"/>
        <v>0</v>
      </c>
      <c r="S261" s="12">
        <f t="shared" si="21"/>
        <v>0</v>
      </c>
      <c r="T261" s="88">
        <f>S261*係数!$H$30</f>
        <v>0</v>
      </c>
      <c r="U261" s="12">
        <f t="shared" si="22"/>
        <v>0</v>
      </c>
      <c r="V261" s="545">
        <f>U261*係数!$C$30*0.0000258</f>
        <v>0</v>
      </c>
      <c r="W261" s="543">
        <f t="shared" si="23"/>
        <v>0</v>
      </c>
    </row>
    <row r="262" spans="2:23" x14ac:dyDescent="0.55000000000000004">
      <c r="B262" s="194" t="s">
        <v>731</v>
      </c>
      <c r="C262" s="25"/>
      <c r="D262" s="128"/>
      <c r="E262" s="6"/>
      <c r="F262" s="101"/>
      <c r="G262" s="101"/>
      <c r="H262" s="137"/>
      <c r="I262" s="6"/>
      <c r="J262" s="100">
        <f t="shared" si="24"/>
        <v>0</v>
      </c>
      <c r="K262" s="100">
        <f t="shared" si="25"/>
        <v>0</v>
      </c>
      <c r="L262" s="88">
        <f>K262*係数!$H$30</f>
        <v>0</v>
      </c>
      <c r="M262" s="25"/>
      <c r="N262" s="6"/>
      <c r="O262" s="6"/>
      <c r="P262" s="137"/>
      <c r="Q262" s="6"/>
      <c r="R262" s="533">
        <f t="shared" si="20"/>
        <v>0</v>
      </c>
      <c r="S262" s="12">
        <f t="shared" si="21"/>
        <v>0</v>
      </c>
      <c r="T262" s="88">
        <f>S262*係数!$H$30</f>
        <v>0</v>
      </c>
      <c r="U262" s="12">
        <f t="shared" si="22"/>
        <v>0</v>
      </c>
      <c r="V262" s="545">
        <f>U262*係数!$C$30*0.0000258</f>
        <v>0</v>
      </c>
      <c r="W262" s="543">
        <f t="shared" si="23"/>
        <v>0</v>
      </c>
    </row>
    <row r="263" spans="2:23" x14ac:dyDescent="0.55000000000000004">
      <c r="B263" s="194" t="s">
        <v>732</v>
      </c>
      <c r="C263" s="25"/>
      <c r="D263" s="128"/>
      <c r="E263" s="6"/>
      <c r="F263" s="101"/>
      <c r="G263" s="101"/>
      <c r="H263" s="137"/>
      <c r="I263" s="6"/>
      <c r="J263" s="100">
        <f t="shared" si="24"/>
        <v>0</v>
      </c>
      <c r="K263" s="100">
        <f t="shared" si="25"/>
        <v>0</v>
      </c>
      <c r="L263" s="88">
        <f>K263*係数!$H$30</f>
        <v>0</v>
      </c>
      <c r="M263" s="25"/>
      <c r="N263" s="6"/>
      <c r="O263" s="6"/>
      <c r="P263" s="137"/>
      <c r="Q263" s="6"/>
      <c r="R263" s="533">
        <f t="shared" si="20"/>
        <v>0</v>
      </c>
      <c r="S263" s="12">
        <f t="shared" si="21"/>
        <v>0</v>
      </c>
      <c r="T263" s="88">
        <f>S263*係数!$H$30</f>
        <v>0</v>
      </c>
      <c r="U263" s="12">
        <f t="shared" si="22"/>
        <v>0</v>
      </c>
      <c r="V263" s="545">
        <f>U263*係数!$C$30*0.0000258</f>
        <v>0</v>
      </c>
      <c r="W263" s="543">
        <f t="shared" si="23"/>
        <v>0</v>
      </c>
    </row>
    <row r="264" spans="2:23" x14ac:dyDescent="0.55000000000000004">
      <c r="B264" s="194" t="s">
        <v>733</v>
      </c>
      <c r="C264" s="25"/>
      <c r="D264" s="128"/>
      <c r="E264" s="6"/>
      <c r="F264" s="101"/>
      <c r="G264" s="101"/>
      <c r="H264" s="137"/>
      <c r="I264" s="6"/>
      <c r="J264" s="100">
        <f t="shared" si="24"/>
        <v>0</v>
      </c>
      <c r="K264" s="100">
        <f t="shared" si="25"/>
        <v>0</v>
      </c>
      <c r="L264" s="88">
        <f>K264*係数!$H$30</f>
        <v>0</v>
      </c>
      <c r="M264" s="25"/>
      <c r="N264" s="6"/>
      <c r="O264" s="6"/>
      <c r="P264" s="137"/>
      <c r="Q264" s="6"/>
      <c r="R264" s="533">
        <f t="shared" si="20"/>
        <v>0</v>
      </c>
      <c r="S264" s="12">
        <f t="shared" si="21"/>
        <v>0</v>
      </c>
      <c r="T264" s="88">
        <f>S264*係数!$H$30</f>
        <v>0</v>
      </c>
      <c r="U264" s="12">
        <f t="shared" si="22"/>
        <v>0</v>
      </c>
      <c r="V264" s="545">
        <f>U264*係数!$C$30*0.0000258</f>
        <v>0</v>
      </c>
      <c r="W264" s="543">
        <f t="shared" si="23"/>
        <v>0</v>
      </c>
    </row>
    <row r="265" spans="2:23" x14ac:dyDescent="0.55000000000000004">
      <c r="B265" s="194" t="s">
        <v>734</v>
      </c>
      <c r="C265" s="25"/>
      <c r="D265" s="128"/>
      <c r="E265" s="6"/>
      <c r="F265" s="101"/>
      <c r="G265" s="101"/>
      <c r="H265" s="137"/>
      <c r="I265" s="6"/>
      <c r="J265" s="100">
        <f t="shared" si="24"/>
        <v>0</v>
      </c>
      <c r="K265" s="100">
        <f t="shared" si="25"/>
        <v>0</v>
      </c>
      <c r="L265" s="88">
        <f>K265*係数!$H$30</f>
        <v>0</v>
      </c>
      <c r="M265" s="25"/>
      <c r="N265" s="6"/>
      <c r="O265" s="6"/>
      <c r="P265" s="137"/>
      <c r="Q265" s="6"/>
      <c r="R265" s="533">
        <f t="shared" si="20"/>
        <v>0</v>
      </c>
      <c r="S265" s="12">
        <f t="shared" si="21"/>
        <v>0</v>
      </c>
      <c r="T265" s="88">
        <f>S265*係数!$H$30</f>
        <v>0</v>
      </c>
      <c r="U265" s="12">
        <f t="shared" si="22"/>
        <v>0</v>
      </c>
      <c r="V265" s="545">
        <f>U265*係数!$C$30*0.0000258</f>
        <v>0</v>
      </c>
      <c r="W265" s="543">
        <f t="shared" si="23"/>
        <v>0</v>
      </c>
    </row>
    <row r="266" spans="2:23" x14ac:dyDescent="0.55000000000000004">
      <c r="B266" s="194" t="s">
        <v>735</v>
      </c>
      <c r="C266" s="25"/>
      <c r="D266" s="128"/>
      <c r="E266" s="6"/>
      <c r="F266" s="101"/>
      <c r="G266" s="101"/>
      <c r="H266" s="137"/>
      <c r="I266" s="6"/>
      <c r="J266" s="100">
        <f t="shared" si="24"/>
        <v>0</v>
      </c>
      <c r="K266" s="100">
        <f t="shared" si="25"/>
        <v>0</v>
      </c>
      <c r="L266" s="88">
        <f>K266*係数!$H$30</f>
        <v>0</v>
      </c>
      <c r="M266" s="25"/>
      <c r="N266" s="6"/>
      <c r="O266" s="6"/>
      <c r="P266" s="137"/>
      <c r="Q266" s="6"/>
      <c r="R266" s="533">
        <f t="shared" si="20"/>
        <v>0</v>
      </c>
      <c r="S266" s="12">
        <f t="shared" si="21"/>
        <v>0</v>
      </c>
      <c r="T266" s="88">
        <f>S266*係数!$H$30</f>
        <v>0</v>
      </c>
      <c r="U266" s="12">
        <f t="shared" si="22"/>
        <v>0</v>
      </c>
      <c r="V266" s="545">
        <f>U266*係数!$C$30*0.0000258</f>
        <v>0</v>
      </c>
      <c r="W266" s="543">
        <f t="shared" si="23"/>
        <v>0</v>
      </c>
    </row>
    <row r="267" spans="2:23" x14ac:dyDescent="0.55000000000000004">
      <c r="B267" s="194" t="s">
        <v>736</v>
      </c>
      <c r="C267" s="25"/>
      <c r="D267" s="128"/>
      <c r="E267" s="6"/>
      <c r="F267" s="101"/>
      <c r="G267" s="101"/>
      <c r="H267" s="137"/>
      <c r="I267" s="6"/>
      <c r="J267" s="100">
        <f t="shared" si="24"/>
        <v>0</v>
      </c>
      <c r="K267" s="100">
        <f t="shared" si="25"/>
        <v>0</v>
      </c>
      <c r="L267" s="88">
        <f>K267*係数!$H$30</f>
        <v>0</v>
      </c>
      <c r="M267" s="25"/>
      <c r="N267" s="6"/>
      <c r="O267" s="6"/>
      <c r="P267" s="137"/>
      <c r="Q267" s="6"/>
      <c r="R267" s="533">
        <f t="shared" si="20"/>
        <v>0</v>
      </c>
      <c r="S267" s="12">
        <f t="shared" si="21"/>
        <v>0</v>
      </c>
      <c r="T267" s="88">
        <f>S267*係数!$H$30</f>
        <v>0</v>
      </c>
      <c r="U267" s="12">
        <f t="shared" si="22"/>
        <v>0</v>
      </c>
      <c r="V267" s="545">
        <f>U267*係数!$C$30*0.0000258</f>
        <v>0</v>
      </c>
      <c r="W267" s="543">
        <f t="shared" si="23"/>
        <v>0</v>
      </c>
    </row>
    <row r="268" spans="2:23" x14ac:dyDescent="0.55000000000000004">
      <c r="B268" s="194" t="s">
        <v>737</v>
      </c>
      <c r="C268" s="25"/>
      <c r="D268" s="128"/>
      <c r="E268" s="6"/>
      <c r="F268" s="101"/>
      <c r="G268" s="101"/>
      <c r="H268" s="137"/>
      <c r="I268" s="6"/>
      <c r="J268" s="100">
        <f t="shared" si="24"/>
        <v>0</v>
      </c>
      <c r="K268" s="100">
        <f t="shared" si="25"/>
        <v>0</v>
      </c>
      <c r="L268" s="88">
        <f>K268*係数!$H$30</f>
        <v>0</v>
      </c>
      <c r="M268" s="25"/>
      <c r="N268" s="6"/>
      <c r="O268" s="6"/>
      <c r="P268" s="137"/>
      <c r="Q268" s="6"/>
      <c r="R268" s="533">
        <f t="shared" si="20"/>
        <v>0</v>
      </c>
      <c r="S268" s="12">
        <f t="shared" si="21"/>
        <v>0</v>
      </c>
      <c r="T268" s="88">
        <f>S268*係数!$H$30</f>
        <v>0</v>
      </c>
      <c r="U268" s="12">
        <f t="shared" si="22"/>
        <v>0</v>
      </c>
      <c r="V268" s="545">
        <f>U268*係数!$C$30*0.0000258</f>
        <v>0</v>
      </c>
      <c r="W268" s="543">
        <f t="shared" si="23"/>
        <v>0</v>
      </c>
    </row>
    <row r="269" spans="2:23" x14ac:dyDescent="0.55000000000000004">
      <c r="B269" s="194" t="s">
        <v>738</v>
      </c>
      <c r="C269" s="25"/>
      <c r="D269" s="128"/>
      <c r="E269" s="6"/>
      <c r="F269" s="101"/>
      <c r="G269" s="101"/>
      <c r="H269" s="137"/>
      <c r="I269" s="6"/>
      <c r="J269" s="100">
        <f t="shared" si="24"/>
        <v>0</v>
      </c>
      <c r="K269" s="100">
        <f t="shared" si="25"/>
        <v>0</v>
      </c>
      <c r="L269" s="88">
        <f>K269*係数!$H$30</f>
        <v>0</v>
      </c>
      <c r="M269" s="25"/>
      <c r="N269" s="6"/>
      <c r="O269" s="6"/>
      <c r="P269" s="137"/>
      <c r="Q269" s="6"/>
      <c r="R269" s="533">
        <f t="shared" si="20"/>
        <v>0</v>
      </c>
      <c r="S269" s="12">
        <f t="shared" si="21"/>
        <v>0</v>
      </c>
      <c r="T269" s="88">
        <f>S269*係数!$H$30</f>
        <v>0</v>
      </c>
      <c r="U269" s="12">
        <f t="shared" si="22"/>
        <v>0</v>
      </c>
      <c r="V269" s="545">
        <f>U269*係数!$C$30*0.0000258</f>
        <v>0</v>
      </c>
      <c r="W269" s="543">
        <f t="shared" si="23"/>
        <v>0</v>
      </c>
    </row>
    <row r="270" spans="2:23" x14ac:dyDescent="0.55000000000000004">
      <c r="B270" s="194" t="s">
        <v>739</v>
      </c>
      <c r="C270" s="25"/>
      <c r="D270" s="128"/>
      <c r="E270" s="6"/>
      <c r="F270" s="101"/>
      <c r="G270" s="101"/>
      <c r="H270" s="137"/>
      <c r="I270" s="6"/>
      <c r="J270" s="100">
        <f t="shared" si="24"/>
        <v>0</v>
      </c>
      <c r="K270" s="100">
        <f t="shared" si="25"/>
        <v>0</v>
      </c>
      <c r="L270" s="88">
        <f>K270*係数!$H$30</f>
        <v>0</v>
      </c>
      <c r="M270" s="25"/>
      <c r="N270" s="6"/>
      <c r="O270" s="6"/>
      <c r="P270" s="137"/>
      <c r="Q270" s="6"/>
      <c r="R270" s="533">
        <f t="shared" si="20"/>
        <v>0</v>
      </c>
      <c r="S270" s="12">
        <f t="shared" si="21"/>
        <v>0</v>
      </c>
      <c r="T270" s="88">
        <f>S270*係数!$H$30</f>
        <v>0</v>
      </c>
      <c r="U270" s="12">
        <f t="shared" si="22"/>
        <v>0</v>
      </c>
      <c r="V270" s="545">
        <f>U270*係数!$C$30*0.0000258</f>
        <v>0</v>
      </c>
      <c r="W270" s="543">
        <f t="shared" si="23"/>
        <v>0</v>
      </c>
    </row>
    <row r="271" spans="2:23" x14ac:dyDescent="0.55000000000000004">
      <c r="B271" s="194" t="s">
        <v>740</v>
      </c>
      <c r="C271" s="25"/>
      <c r="D271" s="128"/>
      <c r="E271" s="6"/>
      <c r="F271" s="101"/>
      <c r="G271" s="101"/>
      <c r="H271" s="137"/>
      <c r="I271" s="6"/>
      <c r="J271" s="100">
        <f t="shared" si="24"/>
        <v>0</v>
      </c>
      <c r="K271" s="100">
        <f t="shared" si="25"/>
        <v>0</v>
      </c>
      <c r="L271" s="88">
        <f>K271*係数!$H$30</f>
        <v>0</v>
      </c>
      <c r="M271" s="25"/>
      <c r="N271" s="6"/>
      <c r="O271" s="6"/>
      <c r="P271" s="137"/>
      <c r="Q271" s="6"/>
      <c r="R271" s="533">
        <f t="shared" si="20"/>
        <v>0</v>
      </c>
      <c r="S271" s="12">
        <f t="shared" si="21"/>
        <v>0</v>
      </c>
      <c r="T271" s="88">
        <f>S271*係数!$H$30</f>
        <v>0</v>
      </c>
      <c r="U271" s="12">
        <f t="shared" si="22"/>
        <v>0</v>
      </c>
      <c r="V271" s="545">
        <f>U271*係数!$C$30*0.0000258</f>
        <v>0</v>
      </c>
      <c r="W271" s="543">
        <f t="shared" si="23"/>
        <v>0</v>
      </c>
    </row>
    <row r="272" spans="2:23" x14ac:dyDescent="0.55000000000000004">
      <c r="B272" s="194" t="s">
        <v>741</v>
      </c>
      <c r="C272" s="25"/>
      <c r="D272" s="128"/>
      <c r="E272" s="6"/>
      <c r="F272" s="101"/>
      <c r="G272" s="101"/>
      <c r="H272" s="137"/>
      <c r="I272" s="6"/>
      <c r="J272" s="100">
        <f t="shared" si="24"/>
        <v>0</v>
      </c>
      <c r="K272" s="100">
        <f t="shared" si="25"/>
        <v>0</v>
      </c>
      <c r="L272" s="88">
        <f>K272*係数!$H$30</f>
        <v>0</v>
      </c>
      <c r="M272" s="25"/>
      <c r="N272" s="6"/>
      <c r="O272" s="6"/>
      <c r="P272" s="137"/>
      <c r="Q272" s="6"/>
      <c r="R272" s="533">
        <f t="shared" si="20"/>
        <v>0</v>
      </c>
      <c r="S272" s="12">
        <f t="shared" si="21"/>
        <v>0</v>
      </c>
      <c r="T272" s="88">
        <f>S272*係数!$H$30</f>
        <v>0</v>
      </c>
      <c r="U272" s="12">
        <f t="shared" si="22"/>
        <v>0</v>
      </c>
      <c r="V272" s="545">
        <f>U272*係数!$C$30*0.0000258</f>
        <v>0</v>
      </c>
      <c r="W272" s="543">
        <f t="shared" si="23"/>
        <v>0</v>
      </c>
    </row>
    <row r="273" spans="2:23" x14ac:dyDescent="0.55000000000000004">
      <c r="B273" s="194" t="s">
        <v>742</v>
      </c>
      <c r="C273" s="25"/>
      <c r="D273" s="128"/>
      <c r="E273" s="6"/>
      <c r="F273" s="101"/>
      <c r="G273" s="101"/>
      <c r="H273" s="137"/>
      <c r="I273" s="6"/>
      <c r="J273" s="100">
        <f t="shared" si="24"/>
        <v>0</v>
      </c>
      <c r="K273" s="100">
        <f t="shared" si="25"/>
        <v>0</v>
      </c>
      <c r="L273" s="88">
        <f>K273*係数!$H$30</f>
        <v>0</v>
      </c>
      <c r="M273" s="25"/>
      <c r="N273" s="6"/>
      <c r="O273" s="6"/>
      <c r="P273" s="137"/>
      <c r="Q273" s="6"/>
      <c r="R273" s="533">
        <f t="shared" si="20"/>
        <v>0</v>
      </c>
      <c r="S273" s="12">
        <f t="shared" si="21"/>
        <v>0</v>
      </c>
      <c r="T273" s="88">
        <f>S273*係数!$H$30</f>
        <v>0</v>
      </c>
      <c r="U273" s="12">
        <f t="shared" si="22"/>
        <v>0</v>
      </c>
      <c r="V273" s="545">
        <f>U273*係数!$C$30*0.0000258</f>
        <v>0</v>
      </c>
      <c r="W273" s="543">
        <f t="shared" si="23"/>
        <v>0</v>
      </c>
    </row>
    <row r="274" spans="2:23" x14ac:dyDescent="0.55000000000000004">
      <c r="B274" s="194" t="s">
        <v>743</v>
      </c>
      <c r="C274" s="25"/>
      <c r="D274" s="128"/>
      <c r="E274" s="6"/>
      <c r="F274" s="101"/>
      <c r="G274" s="101"/>
      <c r="H274" s="137"/>
      <c r="I274" s="6"/>
      <c r="J274" s="100">
        <f t="shared" si="24"/>
        <v>0</v>
      </c>
      <c r="K274" s="100">
        <f t="shared" si="25"/>
        <v>0</v>
      </c>
      <c r="L274" s="88">
        <f>K274*係数!$H$30</f>
        <v>0</v>
      </c>
      <c r="M274" s="25"/>
      <c r="N274" s="6"/>
      <c r="O274" s="6"/>
      <c r="P274" s="137"/>
      <c r="Q274" s="6"/>
      <c r="R274" s="533">
        <f t="shared" ref="R274:R337" si="26">IF(P274="",J274,J274*Q274/100)</f>
        <v>0</v>
      </c>
      <c r="S274" s="12">
        <f t="shared" ref="S274:S337" si="27">N274*O274*R274/1000</f>
        <v>0</v>
      </c>
      <c r="T274" s="88">
        <f>S274*係数!$H$30</f>
        <v>0</v>
      </c>
      <c r="U274" s="12">
        <f t="shared" ref="U274:U337" si="28">K274-S274</f>
        <v>0</v>
      </c>
      <c r="V274" s="545">
        <f>U274*係数!$C$30*0.0000258</f>
        <v>0</v>
      </c>
      <c r="W274" s="543">
        <f t="shared" ref="W274:W337" si="29">L274-T274</f>
        <v>0</v>
      </c>
    </row>
    <row r="275" spans="2:23" x14ac:dyDescent="0.55000000000000004">
      <c r="B275" s="194" t="s">
        <v>744</v>
      </c>
      <c r="C275" s="25"/>
      <c r="D275" s="128"/>
      <c r="E275" s="6"/>
      <c r="F275" s="101"/>
      <c r="G275" s="101"/>
      <c r="H275" s="137"/>
      <c r="I275" s="6"/>
      <c r="J275" s="100">
        <f t="shared" si="24"/>
        <v>0</v>
      </c>
      <c r="K275" s="100">
        <f t="shared" si="25"/>
        <v>0</v>
      </c>
      <c r="L275" s="88">
        <f>K275*係数!$H$30</f>
        <v>0</v>
      </c>
      <c r="M275" s="25"/>
      <c r="N275" s="6"/>
      <c r="O275" s="6"/>
      <c r="P275" s="137"/>
      <c r="Q275" s="6"/>
      <c r="R275" s="533">
        <f t="shared" si="26"/>
        <v>0</v>
      </c>
      <c r="S275" s="12">
        <f t="shared" si="27"/>
        <v>0</v>
      </c>
      <c r="T275" s="88">
        <f>S275*係数!$H$30</f>
        <v>0</v>
      </c>
      <c r="U275" s="12">
        <f t="shared" si="28"/>
        <v>0</v>
      </c>
      <c r="V275" s="545">
        <f>U275*係数!$C$30*0.0000258</f>
        <v>0</v>
      </c>
      <c r="W275" s="543">
        <f t="shared" si="29"/>
        <v>0</v>
      </c>
    </row>
    <row r="276" spans="2:23" x14ac:dyDescent="0.55000000000000004">
      <c r="B276" s="194" t="s">
        <v>745</v>
      </c>
      <c r="C276" s="25"/>
      <c r="D276" s="128"/>
      <c r="E276" s="6"/>
      <c r="F276" s="101"/>
      <c r="G276" s="101"/>
      <c r="H276" s="137"/>
      <c r="I276" s="6"/>
      <c r="J276" s="100">
        <f t="shared" si="24"/>
        <v>0</v>
      </c>
      <c r="K276" s="100">
        <f t="shared" si="25"/>
        <v>0</v>
      </c>
      <c r="L276" s="88">
        <f>K276*係数!$H$30</f>
        <v>0</v>
      </c>
      <c r="M276" s="25"/>
      <c r="N276" s="6"/>
      <c r="O276" s="6"/>
      <c r="P276" s="137"/>
      <c r="Q276" s="6"/>
      <c r="R276" s="533">
        <f t="shared" si="26"/>
        <v>0</v>
      </c>
      <c r="S276" s="12">
        <f t="shared" si="27"/>
        <v>0</v>
      </c>
      <c r="T276" s="88">
        <f>S276*係数!$H$30</f>
        <v>0</v>
      </c>
      <c r="U276" s="12">
        <f t="shared" si="28"/>
        <v>0</v>
      </c>
      <c r="V276" s="545">
        <f>U276*係数!$C$30*0.0000258</f>
        <v>0</v>
      </c>
      <c r="W276" s="543">
        <f t="shared" si="29"/>
        <v>0</v>
      </c>
    </row>
    <row r="277" spans="2:23" x14ac:dyDescent="0.55000000000000004">
      <c r="B277" s="194" t="s">
        <v>746</v>
      </c>
      <c r="C277" s="25"/>
      <c r="D277" s="128"/>
      <c r="E277" s="6"/>
      <c r="F277" s="101"/>
      <c r="G277" s="101"/>
      <c r="H277" s="137"/>
      <c r="I277" s="6"/>
      <c r="J277" s="100">
        <f t="shared" si="24"/>
        <v>0</v>
      </c>
      <c r="K277" s="100">
        <f t="shared" si="25"/>
        <v>0</v>
      </c>
      <c r="L277" s="88">
        <f>K277*係数!$H$30</f>
        <v>0</v>
      </c>
      <c r="M277" s="25"/>
      <c r="N277" s="6"/>
      <c r="O277" s="6"/>
      <c r="P277" s="137"/>
      <c r="Q277" s="6"/>
      <c r="R277" s="533">
        <f t="shared" si="26"/>
        <v>0</v>
      </c>
      <c r="S277" s="12">
        <f t="shared" si="27"/>
        <v>0</v>
      </c>
      <c r="T277" s="88">
        <f>S277*係数!$H$30</f>
        <v>0</v>
      </c>
      <c r="U277" s="12">
        <f t="shared" si="28"/>
        <v>0</v>
      </c>
      <c r="V277" s="545">
        <f>U277*係数!$C$30*0.0000258</f>
        <v>0</v>
      </c>
      <c r="W277" s="543">
        <f t="shared" si="29"/>
        <v>0</v>
      </c>
    </row>
    <row r="278" spans="2:23" x14ac:dyDescent="0.55000000000000004">
      <c r="B278" s="194" t="s">
        <v>747</v>
      </c>
      <c r="C278" s="25"/>
      <c r="D278" s="128"/>
      <c r="E278" s="6"/>
      <c r="F278" s="101"/>
      <c r="G278" s="101"/>
      <c r="H278" s="137"/>
      <c r="I278" s="6"/>
      <c r="J278" s="100">
        <f t="shared" si="24"/>
        <v>0</v>
      </c>
      <c r="K278" s="100">
        <f t="shared" si="25"/>
        <v>0</v>
      </c>
      <c r="L278" s="88">
        <f>K278*係数!$H$30</f>
        <v>0</v>
      </c>
      <c r="M278" s="25"/>
      <c r="N278" s="6"/>
      <c r="O278" s="6"/>
      <c r="P278" s="137"/>
      <c r="Q278" s="6"/>
      <c r="R278" s="533">
        <f t="shared" si="26"/>
        <v>0</v>
      </c>
      <c r="S278" s="12">
        <f t="shared" si="27"/>
        <v>0</v>
      </c>
      <c r="T278" s="88">
        <f>S278*係数!$H$30</f>
        <v>0</v>
      </c>
      <c r="U278" s="12">
        <f t="shared" si="28"/>
        <v>0</v>
      </c>
      <c r="V278" s="545">
        <f>U278*係数!$C$30*0.0000258</f>
        <v>0</v>
      </c>
      <c r="W278" s="543">
        <f t="shared" si="29"/>
        <v>0</v>
      </c>
    </row>
    <row r="279" spans="2:23" x14ac:dyDescent="0.55000000000000004">
      <c r="B279" s="194" t="s">
        <v>748</v>
      </c>
      <c r="C279" s="25"/>
      <c r="D279" s="128"/>
      <c r="E279" s="6"/>
      <c r="F279" s="101"/>
      <c r="G279" s="101"/>
      <c r="H279" s="137"/>
      <c r="I279" s="6"/>
      <c r="J279" s="100">
        <f t="shared" si="24"/>
        <v>0</v>
      </c>
      <c r="K279" s="100">
        <f t="shared" si="25"/>
        <v>0</v>
      </c>
      <c r="L279" s="88">
        <f>K279*係数!$H$30</f>
        <v>0</v>
      </c>
      <c r="M279" s="25"/>
      <c r="N279" s="6"/>
      <c r="O279" s="6"/>
      <c r="P279" s="137"/>
      <c r="Q279" s="6"/>
      <c r="R279" s="533">
        <f t="shared" si="26"/>
        <v>0</v>
      </c>
      <c r="S279" s="12">
        <f t="shared" si="27"/>
        <v>0</v>
      </c>
      <c r="T279" s="88">
        <f>S279*係数!$H$30</f>
        <v>0</v>
      </c>
      <c r="U279" s="12">
        <f t="shared" si="28"/>
        <v>0</v>
      </c>
      <c r="V279" s="545">
        <f>U279*係数!$C$30*0.0000258</f>
        <v>0</v>
      </c>
      <c r="W279" s="543">
        <f t="shared" si="29"/>
        <v>0</v>
      </c>
    </row>
    <row r="280" spans="2:23" x14ac:dyDescent="0.55000000000000004">
      <c r="B280" s="194" t="s">
        <v>749</v>
      </c>
      <c r="C280" s="25"/>
      <c r="D280" s="128"/>
      <c r="E280" s="6"/>
      <c r="F280" s="101"/>
      <c r="G280" s="101"/>
      <c r="H280" s="137"/>
      <c r="I280" s="6"/>
      <c r="J280" s="100">
        <f t="shared" si="24"/>
        <v>0</v>
      </c>
      <c r="K280" s="100">
        <f t="shared" si="25"/>
        <v>0</v>
      </c>
      <c r="L280" s="88">
        <f>K280*係数!$H$30</f>
        <v>0</v>
      </c>
      <c r="M280" s="25"/>
      <c r="N280" s="6"/>
      <c r="O280" s="6"/>
      <c r="P280" s="137"/>
      <c r="Q280" s="6"/>
      <c r="R280" s="533">
        <f t="shared" si="26"/>
        <v>0</v>
      </c>
      <c r="S280" s="12">
        <f t="shared" si="27"/>
        <v>0</v>
      </c>
      <c r="T280" s="88">
        <f>S280*係数!$H$30</f>
        <v>0</v>
      </c>
      <c r="U280" s="12">
        <f t="shared" si="28"/>
        <v>0</v>
      </c>
      <c r="V280" s="545">
        <f>U280*係数!$C$30*0.0000258</f>
        <v>0</v>
      </c>
      <c r="W280" s="543">
        <f t="shared" si="29"/>
        <v>0</v>
      </c>
    </row>
    <row r="281" spans="2:23" x14ac:dyDescent="0.55000000000000004">
      <c r="B281" s="194" t="s">
        <v>750</v>
      </c>
      <c r="C281" s="25"/>
      <c r="D281" s="128"/>
      <c r="E281" s="6"/>
      <c r="F281" s="101"/>
      <c r="G281" s="101"/>
      <c r="H281" s="137"/>
      <c r="I281" s="6"/>
      <c r="J281" s="100">
        <f t="shared" si="24"/>
        <v>0</v>
      </c>
      <c r="K281" s="100">
        <f t="shared" si="25"/>
        <v>0</v>
      </c>
      <c r="L281" s="88">
        <f>K281*係数!$H$30</f>
        <v>0</v>
      </c>
      <c r="M281" s="25"/>
      <c r="N281" s="6"/>
      <c r="O281" s="6"/>
      <c r="P281" s="137"/>
      <c r="Q281" s="6"/>
      <c r="R281" s="533">
        <f t="shared" si="26"/>
        <v>0</v>
      </c>
      <c r="S281" s="12">
        <f t="shared" si="27"/>
        <v>0</v>
      </c>
      <c r="T281" s="88">
        <f>S281*係数!$H$30</f>
        <v>0</v>
      </c>
      <c r="U281" s="12">
        <f t="shared" si="28"/>
        <v>0</v>
      </c>
      <c r="V281" s="545">
        <f>U281*係数!$C$30*0.0000258</f>
        <v>0</v>
      </c>
      <c r="W281" s="543">
        <f t="shared" si="29"/>
        <v>0</v>
      </c>
    </row>
    <row r="282" spans="2:23" x14ac:dyDescent="0.55000000000000004">
      <c r="B282" s="194" t="s">
        <v>751</v>
      </c>
      <c r="C282" s="25"/>
      <c r="D282" s="128"/>
      <c r="E282" s="6"/>
      <c r="F282" s="101"/>
      <c r="G282" s="101"/>
      <c r="H282" s="137"/>
      <c r="I282" s="6"/>
      <c r="J282" s="100">
        <f t="shared" si="24"/>
        <v>0</v>
      </c>
      <c r="K282" s="100">
        <f t="shared" si="25"/>
        <v>0</v>
      </c>
      <c r="L282" s="88">
        <f>K282*係数!$H$30</f>
        <v>0</v>
      </c>
      <c r="M282" s="25"/>
      <c r="N282" s="6"/>
      <c r="O282" s="6"/>
      <c r="P282" s="137"/>
      <c r="Q282" s="6"/>
      <c r="R282" s="533">
        <f t="shared" si="26"/>
        <v>0</v>
      </c>
      <c r="S282" s="12">
        <f t="shared" si="27"/>
        <v>0</v>
      </c>
      <c r="T282" s="88">
        <f>S282*係数!$H$30</f>
        <v>0</v>
      </c>
      <c r="U282" s="12">
        <f t="shared" si="28"/>
        <v>0</v>
      </c>
      <c r="V282" s="545">
        <f>U282*係数!$C$30*0.0000258</f>
        <v>0</v>
      </c>
      <c r="W282" s="543">
        <f t="shared" si="29"/>
        <v>0</v>
      </c>
    </row>
    <row r="283" spans="2:23" x14ac:dyDescent="0.55000000000000004">
      <c r="B283" s="194" t="s">
        <v>752</v>
      </c>
      <c r="C283" s="25"/>
      <c r="D283" s="128"/>
      <c r="E283" s="6"/>
      <c r="F283" s="101"/>
      <c r="G283" s="101"/>
      <c r="H283" s="137"/>
      <c r="I283" s="6"/>
      <c r="J283" s="100">
        <f t="shared" si="24"/>
        <v>0</v>
      </c>
      <c r="K283" s="100">
        <f t="shared" si="25"/>
        <v>0</v>
      </c>
      <c r="L283" s="88">
        <f>K283*係数!$H$30</f>
        <v>0</v>
      </c>
      <c r="M283" s="25"/>
      <c r="N283" s="6"/>
      <c r="O283" s="6"/>
      <c r="P283" s="137"/>
      <c r="Q283" s="6"/>
      <c r="R283" s="533">
        <f t="shared" si="26"/>
        <v>0</v>
      </c>
      <c r="S283" s="12">
        <f t="shared" si="27"/>
        <v>0</v>
      </c>
      <c r="T283" s="88">
        <f>S283*係数!$H$30</f>
        <v>0</v>
      </c>
      <c r="U283" s="12">
        <f t="shared" si="28"/>
        <v>0</v>
      </c>
      <c r="V283" s="545">
        <f>U283*係数!$C$30*0.0000258</f>
        <v>0</v>
      </c>
      <c r="W283" s="543">
        <f t="shared" si="29"/>
        <v>0</v>
      </c>
    </row>
    <row r="284" spans="2:23" x14ac:dyDescent="0.55000000000000004">
      <c r="B284" s="194" t="s">
        <v>753</v>
      </c>
      <c r="C284" s="25"/>
      <c r="D284" s="128"/>
      <c r="E284" s="6"/>
      <c r="F284" s="101"/>
      <c r="G284" s="101"/>
      <c r="H284" s="137"/>
      <c r="I284" s="6"/>
      <c r="J284" s="100">
        <f t="shared" si="24"/>
        <v>0</v>
      </c>
      <c r="K284" s="100">
        <f t="shared" si="25"/>
        <v>0</v>
      </c>
      <c r="L284" s="88">
        <f>K284*係数!$H$30</f>
        <v>0</v>
      </c>
      <c r="M284" s="25"/>
      <c r="N284" s="6"/>
      <c r="O284" s="6"/>
      <c r="P284" s="137"/>
      <c r="Q284" s="6"/>
      <c r="R284" s="533">
        <f t="shared" si="26"/>
        <v>0</v>
      </c>
      <c r="S284" s="12">
        <f t="shared" si="27"/>
        <v>0</v>
      </c>
      <c r="T284" s="88">
        <f>S284*係数!$H$30</f>
        <v>0</v>
      </c>
      <c r="U284" s="12">
        <f t="shared" si="28"/>
        <v>0</v>
      </c>
      <c r="V284" s="545">
        <f>U284*係数!$C$30*0.0000258</f>
        <v>0</v>
      </c>
      <c r="W284" s="543">
        <f t="shared" si="29"/>
        <v>0</v>
      </c>
    </row>
    <row r="285" spans="2:23" x14ac:dyDescent="0.55000000000000004">
      <c r="B285" s="194" t="s">
        <v>754</v>
      </c>
      <c r="C285" s="25"/>
      <c r="D285" s="128"/>
      <c r="E285" s="6"/>
      <c r="F285" s="101"/>
      <c r="G285" s="101"/>
      <c r="H285" s="137"/>
      <c r="I285" s="6"/>
      <c r="J285" s="100">
        <f t="shared" si="24"/>
        <v>0</v>
      </c>
      <c r="K285" s="100">
        <f t="shared" si="25"/>
        <v>0</v>
      </c>
      <c r="L285" s="88">
        <f>K285*係数!$H$30</f>
        <v>0</v>
      </c>
      <c r="M285" s="25"/>
      <c r="N285" s="6"/>
      <c r="O285" s="6"/>
      <c r="P285" s="137"/>
      <c r="Q285" s="6"/>
      <c r="R285" s="533">
        <f t="shared" si="26"/>
        <v>0</v>
      </c>
      <c r="S285" s="12">
        <f t="shared" si="27"/>
        <v>0</v>
      </c>
      <c r="T285" s="88">
        <f>S285*係数!$H$30</f>
        <v>0</v>
      </c>
      <c r="U285" s="12">
        <f t="shared" si="28"/>
        <v>0</v>
      </c>
      <c r="V285" s="545">
        <f>U285*係数!$C$30*0.0000258</f>
        <v>0</v>
      </c>
      <c r="W285" s="543">
        <f t="shared" si="29"/>
        <v>0</v>
      </c>
    </row>
    <row r="286" spans="2:23" x14ac:dyDescent="0.55000000000000004">
      <c r="B286" s="194" t="s">
        <v>755</v>
      </c>
      <c r="C286" s="25"/>
      <c r="D286" s="128"/>
      <c r="E286" s="6"/>
      <c r="F286" s="101"/>
      <c r="G286" s="101"/>
      <c r="H286" s="137"/>
      <c r="I286" s="6"/>
      <c r="J286" s="100">
        <f t="shared" si="24"/>
        <v>0</v>
      </c>
      <c r="K286" s="100">
        <f t="shared" si="25"/>
        <v>0</v>
      </c>
      <c r="L286" s="88">
        <f>K286*係数!$H$30</f>
        <v>0</v>
      </c>
      <c r="M286" s="25"/>
      <c r="N286" s="6"/>
      <c r="O286" s="6"/>
      <c r="P286" s="137"/>
      <c r="Q286" s="6"/>
      <c r="R286" s="533">
        <f t="shared" si="26"/>
        <v>0</v>
      </c>
      <c r="S286" s="12">
        <f t="shared" si="27"/>
        <v>0</v>
      </c>
      <c r="T286" s="88">
        <f>S286*係数!$H$30</f>
        <v>0</v>
      </c>
      <c r="U286" s="12">
        <f t="shared" si="28"/>
        <v>0</v>
      </c>
      <c r="V286" s="545">
        <f>U286*係数!$C$30*0.0000258</f>
        <v>0</v>
      </c>
      <c r="W286" s="543">
        <f t="shared" si="29"/>
        <v>0</v>
      </c>
    </row>
    <row r="287" spans="2:23" x14ac:dyDescent="0.55000000000000004">
      <c r="B287" s="194" t="s">
        <v>756</v>
      </c>
      <c r="C287" s="25"/>
      <c r="D287" s="128"/>
      <c r="E287" s="6"/>
      <c r="F287" s="101"/>
      <c r="G287" s="101"/>
      <c r="H287" s="137"/>
      <c r="I287" s="6"/>
      <c r="J287" s="100">
        <f t="shared" si="24"/>
        <v>0</v>
      </c>
      <c r="K287" s="100">
        <f t="shared" si="25"/>
        <v>0</v>
      </c>
      <c r="L287" s="88">
        <f>K287*係数!$H$30</f>
        <v>0</v>
      </c>
      <c r="M287" s="25"/>
      <c r="N287" s="6"/>
      <c r="O287" s="6"/>
      <c r="P287" s="137"/>
      <c r="Q287" s="6"/>
      <c r="R287" s="533">
        <f t="shared" si="26"/>
        <v>0</v>
      </c>
      <c r="S287" s="12">
        <f t="shared" si="27"/>
        <v>0</v>
      </c>
      <c r="T287" s="88">
        <f>S287*係数!$H$30</f>
        <v>0</v>
      </c>
      <c r="U287" s="12">
        <f t="shared" si="28"/>
        <v>0</v>
      </c>
      <c r="V287" s="545">
        <f>U287*係数!$C$30*0.0000258</f>
        <v>0</v>
      </c>
      <c r="W287" s="543">
        <f t="shared" si="29"/>
        <v>0</v>
      </c>
    </row>
    <row r="288" spans="2:23" x14ac:dyDescent="0.55000000000000004">
      <c r="B288" s="194" t="s">
        <v>757</v>
      </c>
      <c r="C288" s="25"/>
      <c r="D288" s="128"/>
      <c r="E288" s="6"/>
      <c r="F288" s="101"/>
      <c r="G288" s="101"/>
      <c r="H288" s="137"/>
      <c r="I288" s="6"/>
      <c r="J288" s="100">
        <f t="shared" si="24"/>
        <v>0</v>
      </c>
      <c r="K288" s="100">
        <f t="shared" si="25"/>
        <v>0</v>
      </c>
      <c r="L288" s="88">
        <f>K288*係数!$H$30</f>
        <v>0</v>
      </c>
      <c r="M288" s="25"/>
      <c r="N288" s="6"/>
      <c r="O288" s="6"/>
      <c r="P288" s="137"/>
      <c r="Q288" s="6"/>
      <c r="R288" s="533">
        <f t="shared" si="26"/>
        <v>0</v>
      </c>
      <c r="S288" s="12">
        <f t="shared" si="27"/>
        <v>0</v>
      </c>
      <c r="T288" s="88">
        <f>S288*係数!$H$30</f>
        <v>0</v>
      </c>
      <c r="U288" s="12">
        <f t="shared" si="28"/>
        <v>0</v>
      </c>
      <c r="V288" s="545">
        <f>U288*係数!$C$30*0.0000258</f>
        <v>0</v>
      </c>
      <c r="W288" s="543">
        <f t="shared" si="29"/>
        <v>0</v>
      </c>
    </row>
    <row r="289" spans="2:23" x14ac:dyDescent="0.55000000000000004">
      <c r="B289" s="194" t="s">
        <v>758</v>
      </c>
      <c r="C289" s="25"/>
      <c r="D289" s="128"/>
      <c r="E289" s="6"/>
      <c r="F289" s="101"/>
      <c r="G289" s="101"/>
      <c r="H289" s="137"/>
      <c r="I289" s="6"/>
      <c r="J289" s="100">
        <f t="shared" si="24"/>
        <v>0</v>
      </c>
      <c r="K289" s="100">
        <f t="shared" si="25"/>
        <v>0</v>
      </c>
      <c r="L289" s="88">
        <f>K289*係数!$H$30</f>
        <v>0</v>
      </c>
      <c r="M289" s="25"/>
      <c r="N289" s="6"/>
      <c r="O289" s="6"/>
      <c r="P289" s="137"/>
      <c r="Q289" s="6"/>
      <c r="R289" s="533">
        <f t="shared" si="26"/>
        <v>0</v>
      </c>
      <c r="S289" s="12">
        <f t="shared" si="27"/>
        <v>0</v>
      </c>
      <c r="T289" s="88">
        <f>S289*係数!$H$30</f>
        <v>0</v>
      </c>
      <c r="U289" s="12">
        <f t="shared" si="28"/>
        <v>0</v>
      </c>
      <c r="V289" s="545">
        <f>U289*係数!$C$30*0.0000258</f>
        <v>0</v>
      </c>
      <c r="W289" s="543">
        <f t="shared" si="29"/>
        <v>0</v>
      </c>
    </row>
    <row r="290" spans="2:23" x14ac:dyDescent="0.55000000000000004">
      <c r="B290" s="194" t="s">
        <v>759</v>
      </c>
      <c r="C290" s="25"/>
      <c r="D290" s="128"/>
      <c r="E290" s="6"/>
      <c r="F290" s="101"/>
      <c r="G290" s="101"/>
      <c r="H290" s="137"/>
      <c r="I290" s="6"/>
      <c r="J290" s="100">
        <f t="shared" si="24"/>
        <v>0</v>
      </c>
      <c r="K290" s="100">
        <f t="shared" si="25"/>
        <v>0</v>
      </c>
      <c r="L290" s="88">
        <f>K290*係数!$H$30</f>
        <v>0</v>
      </c>
      <c r="M290" s="25"/>
      <c r="N290" s="6"/>
      <c r="O290" s="6"/>
      <c r="P290" s="137"/>
      <c r="Q290" s="6"/>
      <c r="R290" s="533">
        <f t="shared" si="26"/>
        <v>0</v>
      </c>
      <c r="S290" s="12">
        <f t="shared" si="27"/>
        <v>0</v>
      </c>
      <c r="T290" s="88">
        <f>S290*係数!$H$30</f>
        <v>0</v>
      </c>
      <c r="U290" s="12">
        <f t="shared" si="28"/>
        <v>0</v>
      </c>
      <c r="V290" s="545">
        <f>U290*係数!$C$30*0.0000258</f>
        <v>0</v>
      </c>
      <c r="W290" s="543">
        <f t="shared" si="29"/>
        <v>0</v>
      </c>
    </row>
    <row r="291" spans="2:23" x14ac:dyDescent="0.55000000000000004">
      <c r="B291" s="194" t="s">
        <v>760</v>
      </c>
      <c r="C291" s="25"/>
      <c r="D291" s="128"/>
      <c r="E291" s="6"/>
      <c r="F291" s="101"/>
      <c r="G291" s="101"/>
      <c r="H291" s="137"/>
      <c r="I291" s="6"/>
      <c r="J291" s="100">
        <f t="shared" si="24"/>
        <v>0</v>
      </c>
      <c r="K291" s="100">
        <f t="shared" si="25"/>
        <v>0</v>
      </c>
      <c r="L291" s="88">
        <f>K291*係数!$H$30</f>
        <v>0</v>
      </c>
      <c r="M291" s="25"/>
      <c r="N291" s="6"/>
      <c r="O291" s="6"/>
      <c r="P291" s="137"/>
      <c r="Q291" s="6"/>
      <c r="R291" s="533">
        <f t="shared" si="26"/>
        <v>0</v>
      </c>
      <c r="S291" s="12">
        <f t="shared" si="27"/>
        <v>0</v>
      </c>
      <c r="T291" s="88">
        <f>S291*係数!$H$30</f>
        <v>0</v>
      </c>
      <c r="U291" s="12">
        <f t="shared" si="28"/>
        <v>0</v>
      </c>
      <c r="V291" s="545">
        <f>U291*係数!$C$30*0.0000258</f>
        <v>0</v>
      </c>
      <c r="W291" s="543">
        <f t="shared" si="29"/>
        <v>0</v>
      </c>
    </row>
    <row r="292" spans="2:23" x14ac:dyDescent="0.55000000000000004">
      <c r="B292" s="194" t="s">
        <v>761</v>
      </c>
      <c r="C292" s="25"/>
      <c r="D292" s="128"/>
      <c r="E292" s="6"/>
      <c r="F292" s="101"/>
      <c r="G292" s="101"/>
      <c r="H292" s="137"/>
      <c r="I292" s="6"/>
      <c r="J292" s="100">
        <f t="shared" si="24"/>
        <v>0</v>
      </c>
      <c r="K292" s="100">
        <f t="shared" si="25"/>
        <v>0</v>
      </c>
      <c r="L292" s="88">
        <f>K292*係数!$H$30</f>
        <v>0</v>
      </c>
      <c r="M292" s="25"/>
      <c r="N292" s="6"/>
      <c r="O292" s="6"/>
      <c r="P292" s="137"/>
      <c r="Q292" s="6"/>
      <c r="R292" s="533">
        <f t="shared" si="26"/>
        <v>0</v>
      </c>
      <c r="S292" s="12">
        <f t="shared" si="27"/>
        <v>0</v>
      </c>
      <c r="T292" s="88">
        <f>S292*係数!$H$30</f>
        <v>0</v>
      </c>
      <c r="U292" s="12">
        <f t="shared" si="28"/>
        <v>0</v>
      </c>
      <c r="V292" s="545">
        <f>U292*係数!$C$30*0.0000258</f>
        <v>0</v>
      </c>
      <c r="W292" s="543">
        <f t="shared" si="29"/>
        <v>0</v>
      </c>
    </row>
    <row r="293" spans="2:23" x14ac:dyDescent="0.55000000000000004">
      <c r="B293" s="194" t="s">
        <v>762</v>
      </c>
      <c r="C293" s="25"/>
      <c r="D293" s="128"/>
      <c r="E293" s="6"/>
      <c r="F293" s="101"/>
      <c r="G293" s="101"/>
      <c r="H293" s="137"/>
      <c r="I293" s="6"/>
      <c r="J293" s="100">
        <f t="shared" si="24"/>
        <v>0</v>
      </c>
      <c r="K293" s="100">
        <f t="shared" si="25"/>
        <v>0</v>
      </c>
      <c r="L293" s="88">
        <f>K293*係数!$H$30</f>
        <v>0</v>
      </c>
      <c r="M293" s="25"/>
      <c r="N293" s="6"/>
      <c r="O293" s="6"/>
      <c r="P293" s="137"/>
      <c r="Q293" s="6"/>
      <c r="R293" s="533">
        <f t="shared" si="26"/>
        <v>0</v>
      </c>
      <c r="S293" s="12">
        <f t="shared" si="27"/>
        <v>0</v>
      </c>
      <c r="T293" s="88">
        <f>S293*係数!$H$30</f>
        <v>0</v>
      </c>
      <c r="U293" s="12">
        <f t="shared" si="28"/>
        <v>0</v>
      </c>
      <c r="V293" s="545">
        <f>U293*係数!$C$30*0.0000258</f>
        <v>0</v>
      </c>
      <c r="W293" s="543">
        <f t="shared" si="29"/>
        <v>0</v>
      </c>
    </row>
    <row r="294" spans="2:23" x14ac:dyDescent="0.55000000000000004">
      <c r="B294" s="194" t="s">
        <v>763</v>
      </c>
      <c r="C294" s="25"/>
      <c r="D294" s="128"/>
      <c r="E294" s="6"/>
      <c r="F294" s="101"/>
      <c r="G294" s="101"/>
      <c r="H294" s="137"/>
      <c r="I294" s="6"/>
      <c r="J294" s="100">
        <f t="shared" si="24"/>
        <v>0</v>
      </c>
      <c r="K294" s="100">
        <f t="shared" si="25"/>
        <v>0</v>
      </c>
      <c r="L294" s="88">
        <f>K294*係数!$H$30</f>
        <v>0</v>
      </c>
      <c r="M294" s="25"/>
      <c r="N294" s="6"/>
      <c r="O294" s="6"/>
      <c r="P294" s="137"/>
      <c r="Q294" s="6"/>
      <c r="R294" s="533">
        <f t="shared" si="26"/>
        <v>0</v>
      </c>
      <c r="S294" s="12">
        <f t="shared" si="27"/>
        <v>0</v>
      </c>
      <c r="T294" s="88">
        <f>S294*係数!$H$30</f>
        <v>0</v>
      </c>
      <c r="U294" s="12">
        <f t="shared" si="28"/>
        <v>0</v>
      </c>
      <c r="V294" s="545">
        <f>U294*係数!$C$30*0.0000258</f>
        <v>0</v>
      </c>
      <c r="W294" s="543">
        <f t="shared" si="29"/>
        <v>0</v>
      </c>
    </row>
    <row r="295" spans="2:23" x14ac:dyDescent="0.55000000000000004">
      <c r="B295" s="194" t="s">
        <v>764</v>
      </c>
      <c r="C295" s="25"/>
      <c r="D295" s="128"/>
      <c r="E295" s="6"/>
      <c r="F295" s="101"/>
      <c r="G295" s="101"/>
      <c r="H295" s="137"/>
      <c r="I295" s="6"/>
      <c r="J295" s="100">
        <f t="shared" si="24"/>
        <v>0</v>
      </c>
      <c r="K295" s="100">
        <f t="shared" si="25"/>
        <v>0</v>
      </c>
      <c r="L295" s="88">
        <f>K295*係数!$H$30</f>
        <v>0</v>
      </c>
      <c r="M295" s="25"/>
      <c r="N295" s="6"/>
      <c r="O295" s="6"/>
      <c r="P295" s="137"/>
      <c r="Q295" s="6"/>
      <c r="R295" s="533">
        <f t="shared" si="26"/>
        <v>0</v>
      </c>
      <c r="S295" s="12">
        <f t="shared" si="27"/>
        <v>0</v>
      </c>
      <c r="T295" s="88">
        <f>S295*係数!$H$30</f>
        <v>0</v>
      </c>
      <c r="U295" s="12">
        <f t="shared" si="28"/>
        <v>0</v>
      </c>
      <c r="V295" s="545">
        <f>U295*係数!$C$30*0.0000258</f>
        <v>0</v>
      </c>
      <c r="W295" s="543">
        <f t="shared" si="29"/>
        <v>0</v>
      </c>
    </row>
    <row r="296" spans="2:23" x14ac:dyDescent="0.55000000000000004">
      <c r="B296" s="194" t="s">
        <v>765</v>
      </c>
      <c r="C296" s="25"/>
      <c r="D296" s="128"/>
      <c r="E296" s="6"/>
      <c r="F296" s="101"/>
      <c r="G296" s="101"/>
      <c r="H296" s="137"/>
      <c r="I296" s="6"/>
      <c r="J296" s="100">
        <f t="shared" si="24"/>
        <v>0</v>
      </c>
      <c r="K296" s="100">
        <f t="shared" si="25"/>
        <v>0</v>
      </c>
      <c r="L296" s="88">
        <f>K296*係数!$H$30</f>
        <v>0</v>
      </c>
      <c r="M296" s="25"/>
      <c r="N296" s="6"/>
      <c r="O296" s="6"/>
      <c r="P296" s="137"/>
      <c r="Q296" s="6"/>
      <c r="R296" s="533">
        <f t="shared" si="26"/>
        <v>0</v>
      </c>
      <c r="S296" s="12">
        <f t="shared" si="27"/>
        <v>0</v>
      </c>
      <c r="T296" s="88">
        <f>S296*係数!$H$30</f>
        <v>0</v>
      </c>
      <c r="U296" s="12">
        <f t="shared" si="28"/>
        <v>0</v>
      </c>
      <c r="V296" s="545">
        <f>U296*係数!$C$30*0.0000258</f>
        <v>0</v>
      </c>
      <c r="W296" s="543">
        <f t="shared" si="29"/>
        <v>0</v>
      </c>
    </row>
    <row r="297" spans="2:23" x14ac:dyDescent="0.55000000000000004">
      <c r="B297" s="194" t="s">
        <v>766</v>
      </c>
      <c r="C297" s="25"/>
      <c r="D297" s="128"/>
      <c r="E297" s="6"/>
      <c r="F297" s="101"/>
      <c r="G297" s="101"/>
      <c r="H297" s="137"/>
      <c r="I297" s="6"/>
      <c r="J297" s="100">
        <f t="shared" si="24"/>
        <v>0</v>
      </c>
      <c r="K297" s="100">
        <f t="shared" si="25"/>
        <v>0</v>
      </c>
      <c r="L297" s="88">
        <f>K297*係数!$H$30</f>
        <v>0</v>
      </c>
      <c r="M297" s="25"/>
      <c r="N297" s="6"/>
      <c r="O297" s="6"/>
      <c r="P297" s="137"/>
      <c r="Q297" s="6"/>
      <c r="R297" s="533">
        <f t="shared" si="26"/>
        <v>0</v>
      </c>
      <c r="S297" s="12">
        <f t="shared" si="27"/>
        <v>0</v>
      </c>
      <c r="T297" s="88">
        <f>S297*係数!$H$30</f>
        <v>0</v>
      </c>
      <c r="U297" s="12">
        <f t="shared" si="28"/>
        <v>0</v>
      </c>
      <c r="V297" s="545">
        <f>U297*係数!$C$30*0.0000258</f>
        <v>0</v>
      </c>
      <c r="W297" s="543">
        <f t="shared" si="29"/>
        <v>0</v>
      </c>
    </row>
    <row r="298" spans="2:23" x14ac:dyDescent="0.55000000000000004">
      <c r="B298" s="194" t="s">
        <v>767</v>
      </c>
      <c r="C298" s="25"/>
      <c r="D298" s="128"/>
      <c r="E298" s="6"/>
      <c r="F298" s="101"/>
      <c r="G298" s="101"/>
      <c r="H298" s="137"/>
      <c r="I298" s="6"/>
      <c r="J298" s="100">
        <f t="shared" si="24"/>
        <v>0</v>
      </c>
      <c r="K298" s="100">
        <f t="shared" si="25"/>
        <v>0</v>
      </c>
      <c r="L298" s="88">
        <f>K298*係数!$H$30</f>
        <v>0</v>
      </c>
      <c r="M298" s="25"/>
      <c r="N298" s="6"/>
      <c r="O298" s="6"/>
      <c r="P298" s="137"/>
      <c r="Q298" s="6"/>
      <c r="R298" s="533">
        <f t="shared" si="26"/>
        <v>0</v>
      </c>
      <c r="S298" s="12">
        <f t="shared" si="27"/>
        <v>0</v>
      </c>
      <c r="T298" s="88">
        <f>S298*係数!$H$30</f>
        <v>0</v>
      </c>
      <c r="U298" s="12">
        <f t="shared" si="28"/>
        <v>0</v>
      </c>
      <c r="V298" s="545">
        <f>U298*係数!$C$30*0.0000258</f>
        <v>0</v>
      </c>
      <c r="W298" s="543">
        <f t="shared" si="29"/>
        <v>0</v>
      </c>
    </row>
    <row r="299" spans="2:23" x14ac:dyDescent="0.55000000000000004">
      <c r="B299" s="194" t="s">
        <v>768</v>
      </c>
      <c r="C299" s="25"/>
      <c r="D299" s="128"/>
      <c r="E299" s="6"/>
      <c r="F299" s="101"/>
      <c r="G299" s="101"/>
      <c r="H299" s="137"/>
      <c r="I299" s="6"/>
      <c r="J299" s="100">
        <f t="shared" si="24"/>
        <v>0</v>
      </c>
      <c r="K299" s="100">
        <f t="shared" si="25"/>
        <v>0</v>
      </c>
      <c r="L299" s="88">
        <f>K299*係数!$H$30</f>
        <v>0</v>
      </c>
      <c r="M299" s="25"/>
      <c r="N299" s="6"/>
      <c r="O299" s="6"/>
      <c r="P299" s="137"/>
      <c r="Q299" s="6"/>
      <c r="R299" s="533">
        <f t="shared" si="26"/>
        <v>0</v>
      </c>
      <c r="S299" s="12">
        <f t="shared" si="27"/>
        <v>0</v>
      </c>
      <c r="T299" s="88">
        <f>S299*係数!$H$30</f>
        <v>0</v>
      </c>
      <c r="U299" s="12">
        <f t="shared" si="28"/>
        <v>0</v>
      </c>
      <c r="V299" s="545">
        <f>U299*係数!$C$30*0.0000258</f>
        <v>0</v>
      </c>
      <c r="W299" s="543">
        <f t="shared" si="29"/>
        <v>0</v>
      </c>
    </row>
    <row r="300" spans="2:23" x14ac:dyDescent="0.55000000000000004">
      <c r="B300" s="194" t="s">
        <v>769</v>
      </c>
      <c r="C300" s="25"/>
      <c r="D300" s="128"/>
      <c r="E300" s="6"/>
      <c r="F300" s="101"/>
      <c r="G300" s="101"/>
      <c r="H300" s="137"/>
      <c r="I300" s="6"/>
      <c r="J300" s="100">
        <f t="shared" si="24"/>
        <v>0</v>
      </c>
      <c r="K300" s="100">
        <f t="shared" si="25"/>
        <v>0</v>
      </c>
      <c r="L300" s="88">
        <f>K300*係数!$H$30</f>
        <v>0</v>
      </c>
      <c r="M300" s="25"/>
      <c r="N300" s="6"/>
      <c r="O300" s="6"/>
      <c r="P300" s="137"/>
      <c r="Q300" s="6"/>
      <c r="R300" s="533">
        <f t="shared" si="26"/>
        <v>0</v>
      </c>
      <c r="S300" s="12">
        <f t="shared" si="27"/>
        <v>0</v>
      </c>
      <c r="T300" s="88">
        <f>S300*係数!$H$30</f>
        <v>0</v>
      </c>
      <c r="U300" s="12">
        <f t="shared" si="28"/>
        <v>0</v>
      </c>
      <c r="V300" s="545">
        <f>U300*係数!$C$30*0.0000258</f>
        <v>0</v>
      </c>
      <c r="W300" s="543">
        <f t="shared" si="29"/>
        <v>0</v>
      </c>
    </row>
    <row r="301" spans="2:23" x14ac:dyDescent="0.55000000000000004">
      <c r="B301" s="194" t="s">
        <v>770</v>
      </c>
      <c r="C301" s="25"/>
      <c r="D301" s="128"/>
      <c r="E301" s="6"/>
      <c r="F301" s="101"/>
      <c r="G301" s="101"/>
      <c r="H301" s="137"/>
      <c r="I301" s="6"/>
      <c r="J301" s="100">
        <f t="shared" si="24"/>
        <v>0</v>
      </c>
      <c r="K301" s="100">
        <f t="shared" si="25"/>
        <v>0</v>
      </c>
      <c r="L301" s="88">
        <f>K301*係数!$H$30</f>
        <v>0</v>
      </c>
      <c r="M301" s="25"/>
      <c r="N301" s="6"/>
      <c r="O301" s="6"/>
      <c r="P301" s="137"/>
      <c r="Q301" s="6"/>
      <c r="R301" s="533">
        <f t="shared" si="26"/>
        <v>0</v>
      </c>
      <c r="S301" s="12">
        <f t="shared" si="27"/>
        <v>0</v>
      </c>
      <c r="T301" s="88">
        <f>S301*係数!$H$30</f>
        <v>0</v>
      </c>
      <c r="U301" s="12">
        <f t="shared" si="28"/>
        <v>0</v>
      </c>
      <c r="V301" s="545">
        <f>U301*係数!$C$30*0.0000258</f>
        <v>0</v>
      </c>
      <c r="W301" s="543">
        <f t="shared" si="29"/>
        <v>0</v>
      </c>
    </row>
    <row r="302" spans="2:23" x14ac:dyDescent="0.55000000000000004">
      <c r="B302" s="194" t="s">
        <v>771</v>
      </c>
      <c r="C302" s="25"/>
      <c r="D302" s="128"/>
      <c r="E302" s="6"/>
      <c r="F302" s="101"/>
      <c r="G302" s="101"/>
      <c r="H302" s="137"/>
      <c r="I302" s="6"/>
      <c r="J302" s="100">
        <f t="shared" si="24"/>
        <v>0</v>
      </c>
      <c r="K302" s="100">
        <f t="shared" si="25"/>
        <v>0</v>
      </c>
      <c r="L302" s="88">
        <f>K302*係数!$H$30</f>
        <v>0</v>
      </c>
      <c r="M302" s="25"/>
      <c r="N302" s="6"/>
      <c r="O302" s="6"/>
      <c r="P302" s="137"/>
      <c r="Q302" s="6"/>
      <c r="R302" s="533">
        <f t="shared" si="26"/>
        <v>0</v>
      </c>
      <c r="S302" s="12">
        <f t="shared" si="27"/>
        <v>0</v>
      </c>
      <c r="T302" s="88">
        <f>S302*係数!$H$30</f>
        <v>0</v>
      </c>
      <c r="U302" s="12">
        <f t="shared" si="28"/>
        <v>0</v>
      </c>
      <c r="V302" s="545">
        <f>U302*係数!$C$30*0.0000258</f>
        <v>0</v>
      </c>
      <c r="W302" s="543">
        <f t="shared" si="29"/>
        <v>0</v>
      </c>
    </row>
    <row r="303" spans="2:23" x14ac:dyDescent="0.55000000000000004">
      <c r="B303" s="194" t="s">
        <v>772</v>
      </c>
      <c r="C303" s="25"/>
      <c r="D303" s="128"/>
      <c r="E303" s="6"/>
      <c r="F303" s="101"/>
      <c r="G303" s="101"/>
      <c r="H303" s="137"/>
      <c r="I303" s="6"/>
      <c r="J303" s="100">
        <f t="shared" si="24"/>
        <v>0</v>
      </c>
      <c r="K303" s="100">
        <f t="shared" si="25"/>
        <v>0</v>
      </c>
      <c r="L303" s="88">
        <f>K303*係数!$H$30</f>
        <v>0</v>
      </c>
      <c r="M303" s="25"/>
      <c r="N303" s="6"/>
      <c r="O303" s="6"/>
      <c r="P303" s="137"/>
      <c r="Q303" s="6"/>
      <c r="R303" s="533">
        <f t="shared" si="26"/>
        <v>0</v>
      </c>
      <c r="S303" s="12">
        <f t="shared" si="27"/>
        <v>0</v>
      </c>
      <c r="T303" s="88">
        <f>S303*係数!$H$30</f>
        <v>0</v>
      </c>
      <c r="U303" s="12">
        <f t="shared" si="28"/>
        <v>0</v>
      </c>
      <c r="V303" s="545">
        <f>U303*係数!$C$30*0.0000258</f>
        <v>0</v>
      </c>
      <c r="W303" s="543">
        <f t="shared" si="29"/>
        <v>0</v>
      </c>
    </row>
    <row r="304" spans="2:23" x14ac:dyDescent="0.55000000000000004">
      <c r="B304" s="194" t="s">
        <v>773</v>
      </c>
      <c r="C304" s="25"/>
      <c r="D304" s="128"/>
      <c r="E304" s="6"/>
      <c r="F304" s="101"/>
      <c r="G304" s="101"/>
      <c r="H304" s="137"/>
      <c r="I304" s="6"/>
      <c r="J304" s="100">
        <f t="shared" si="24"/>
        <v>0</v>
      </c>
      <c r="K304" s="100">
        <f t="shared" si="25"/>
        <v>0</v>
      </c>
      <c r="L304" s="88">
        <f>K304*係数!$H$30</f>
        <v>0</v>
      </c>
      <c r="M304" s="25"/>
      <c r="N304" s="6"/>
      <c r="O304" s="6"/>
      <c r="P304" s="137"/>
      <c r="Q304" s="6"/>
      <c r="R304" s="533">
        <f t="shared" si="26"/>
        <v>0</v>
      </c>
      <c r="S304" s="12">
        <f t="shared" si="27"/>
        <v>0</v>
      </c>
      <c r="T304" s="88">
        <f>S304*係数!$H$30</f>
        <v>0</v>
      </c>
      <c r="U304" s="12">
        <f t="shared" si="28"/>
        <v>0</v>
      </c>
      <c r="V304" s="545">
        <f>U304*係数!$C$30*0.0000258</f>
        <v>0</v>
      </c>
      <c r="W304" s="543">
        <f t="shared" si="29"/>
        <v>0</v>
      </c>
    </row>
    <row r="305" spans="2:23" x14ac:dyDescent="0.55000000000000004">
      <c r="B305" s="194" t="s">
        <v>774</v>
      </c>
      <c r="C305" s="25"/>
      <c r="D305" s="128"/>
      <c r="E305" s="6"/>
      <c r="F305" s="101"/>
      <c r="G305" s="101"/>
      <c r="H305" s="137"/>
      <c r="I305" s="6"/>
      <c r="J305" s="100">
        <f t="shared" si="24"/>
        <v>0</v>
      </c>
      <c r="K305" s="100">
        <f t="shared" si="25"/>
        <v>0</v>
      </c>
      <c r="L305" s="88">
        <f>K305*係数!$H$30</f>
        <v>0</v>
      </c>
      <c r="M305" s="25"/>
      <c r="N305" s="6"/>
      <c r="O305" s="6"/>
      <c r="P305" s="137"/>
      <c r="Q305" s="6"/>
      <c r="R305" s="533">
        <f t="shared" si="26"/>
        <v>0</v>
      </c>
      <c r="S305" s="12">
        <f t="shared" si="27"/>
        <v>0</v>
      </c>
      <c r="T305" s="88">
        <f>S305*係数!$H$30</f>
        <v>0</v>
      </c>
      <c r="U305" s="12">
        <f t="shared" si="28"/>
        <v>0</v>
      </c>
      <c r="V305" s="545">
        <f>U305*係数!$C$30*0.0000258</f>
        <v>0</v>
      </c>
      <c r="W305" s="543">
        <f t="shared" si="29"/>
        <v>0</v>
      </c>
    </row>
    <row r="306" spans="2:23" x14ac:dyDescent="0.55000000000000004">
      <c r="B306" s="194" t="s">
        <v>775</v>
      </c>
      <c r="C306" s="25"/>
      <c r="D306" s="128"/>
      <c r="E306" s="6"/>
      <c r="F306" s="101"/>
      <c r="G306" s="101"/>
      <c r="H306" s="137"/>
      <c r="I306" s="6"/>
      <c r="J306" s="100">
        <f t="shared" si="24"/>
        <v>0</v>
      </c>
      <c r="K306" s="100">
        <f t="shared" si="25"/>
        <v>0</v>
      </c>
      <c r="L306" s="88">
        <f>K306*係数!$H$30</f>
        <v>0</v>
      </c>
      <c r="M306" s="25"/>
      <c r="N306" s="6"/>
      <c r="O306" s="6"/>
      <c r="P306" s="137"/>
      <c r="Q306" s="6"/>
      <c r="R306" s="533">
        <f t="shared" si="26"/>
        <v>0</v>
      </c>
      <c r="S306" s="12">
        <f t="shared" si="27"/>
        <v>0</v>
      </c>
      <c r="T306" s="88">
        <f>S306*係数!$H$30</f>
        <v>0</v>
      </c>
      <c r="U306" s="12">
        <f t="shared" si="28"/>
        <v>0</v>
      </c>
      <c r="V306" s="545">
        <f>U306*係数!$C$30*0.0000258</f>
        <v>0</v>
      </c>
      <c r="W306" s="543">
        <f t="shared" si="29"/>
        <v>0</v>
      </c>
    </row>
    <row r="307" spans="2:23" x14ac:dyDescent="0.55000000000000004">
      <c r="B307" s="194" t="s">
        <v>776</v>
      </c>
      <c r="C307" s="25"/>
      <c r="D307" s="128"/>
      <c r="E307" s="6"/>
      <c r="F307" s="101"/>
      <c r="G307" s="101"/>
      <c r="H307" s="137"/>
      <c r="I307" s="6"/>
      <c r="J307" s="100">
        <f t="shared" si="24"/>
        <v>0</v>
      </c>
      <c r="K307" s="100">
        <f t="shared" si="25"/>
        <v>0</v>
      </c>
      <c r="L307" s="88">
        <f>K307*係数!$H$30</f>
        <v>0</v>
      </c>
      <c r="M307" s="25"/>
      <c r="N307" s="6"/>
      <c r="O307" s="6"/>
      <c r="P307" s="137"/>
      <c r="Q307" s="6"/>
      <c r="R307" s="533">
        <f t="shared" si="26"/>
        <v>0</v>
      </c>
      <c r="S307" s="12">
        <f t="shared" si="27"/>
        <v>0</v>
      </c>
      <c r="T307" s="88">
        <f>S307*係数!$H$30</f>
        <v>0</v>
      </c>
      <c r="U307" s="12">
        <f t="shared" si="28"/>
        <v>0</v>
      </c>
      <c r="V307" s="545">
        <f>U307*係数!$C$30*0.0000258</f>
        <v>0</v>
      </c>
      <c r="W307" s="543">
        <f t="shared" si="29"/>
        <v>0</v>
      </c>
    </row>
    <row r="308" spans="2:23" x14ac:dyDescent="0.55000000000000004">
      <c r="B308" s="194" t="s">
        <v>777</v>
      </c>
      <c r="C308" s="25"/>
      <c r="D308" s="128"/>
      <c r="E308" s="6"/>
      <c r="F308" s="101"/>
      <c r="G308" s="101"/>
      <c r="H308" s="137"/>
      <c r="I308" s="6"/>
      <c r="J308" s="100">
        <f t="shared" si="24"/>
        <v>0</v>
      </c>
      <c r="K308" s="100">
        <f t="shared" si="25"/>
        <v>0</v>
      </c>
      <c r="L308" s="88">
        <f>K308*係数!$H$30</f>
        <v>0</v>
      </c>
      <c r="M308" s="25"/>
      <c r="N308" s="6"/>
      <c r="O308" s="6"/>
      <c r="P308" s="137"/>
      <c r="Q308" s="6"/>
      <c r="R308" s="533">
        <f t="shared" si="26"/>
        <v>0</v>
      </c>
      <c r="S308" s="12">
        <f t="shared" si="27"/>
        <v>0</v>
      </c>
      <c r="T308" s="88">
        <f>S308*係数!$H$30</f>
        <v>0</v>
      </c>
      <c r="U308" s="12">
        <f t="shared" si="28"/>
        <v>0</v>
      </c>
      <c r="V308" s="545">
        <f>U308*係数!$C$30*0.0000258</f>
        <v>0</v>
      </c>
      <c r="W308" s="543">
        <f t="shared" si="29"/>
        <v>0</v>
      </c>
    </row>
    <row r="309" spans="2:23" x14ac:dyDescent="0.55000000000000004">
      <c r="B309" s="194" t="s">
        <v>778</v>
      </c>
      <c r="C309" s="25"/>
      <c r="D309" s="128"/>
      <c r="E309" s="6"/>
      <c r="F309" s="101"/>
      <c r="G309" s="101"/>
      <c r="H309" s="137"/>
      <c r="I309" s="6"/>
      <c r="J309" s="100">
        <f t="shared" si="24"/>
        <v>0</v>
      </c>
      <c r="K309" s="100">
        <f t="shared" si="25"/>
        <v>0</v>
      </c>
      <c r="L309" s="88">
        <f>K309*係数!$H$30</f>
        <v>0</v>
      </c>
      <c r="M309" s="25"/>
      <c r="N309" s="6"/>
      <c r="O309" s="6"/>
      <c r="P309" s="137"/>
      <c r="Q309" s="6"/>
      <c r="R309" s="533">
        <f t="shared" si="26"/>
        <v>0</v>
      </c>
      <c r="S309" s="12">
        <f t="shared" si="27"/>
        <v>0</v>
      </c>
      <c r="T309" s="88">
        <f>S309*係数!$H$30</f>
        <v>0</v>
      </c>
      <c r="U309" s="12">
        <f t="shared" si="28"/>
        <v>0</v>
      </c>
      <c r="V309" s="545">
        <f>U309*係数!$C$30*0.0000258</f>
        <v>0</v>
      </c>
      <c r="W309" s="543">
        <f t="shared" si="29"/>
        <v>0</v>
      </c>
    </row>
    <row r="310" spans="2:23" x14ac:dyDescent="0.55000000000000004">
      <c r="B310" s="194" t="s">
        <v>779</v>
      </c>
      <c r="C310" s="25"/>
      <c r="D310" s="128"/>
      <c r="E310" s="6"/>
      <c r="F310" s="101"/>
      <c r="G310" s="101"/>
      <c r="H310" s="137"/>
      <c r="I310" s="6"/>
      <c r="J310" s="100">
        <f t="shared" si="24"/>
        <v>0</v>
      </c>
      <c r="K310" s="100">
        <f t="shared" si="25"/>
        <v>0</v>
      </c>
      <c r="L310" s="88">
        <f>K310*係数!$H$30</f>
        <v>0</v>
      </c>
      <c r="M310" s="25"/>
      <c r="N310" s="6"/>
      <c r="O310" s="6"/>
      <c r="P310" s="137"/>
      <c r="Q310" s="6"/>
      <c r="R310" s="533">
        <f t="shared" si="26"/>
        <v>0</v>
      </c>
      <c r="S310" s="12">
        <f t="shared" si="27"/>
        <v>0</v>
      </c>
      <c r="T310" s="88">
        <f>S310*係数!$H$30</f>
        <v>0</v>
      </c>
      <c r="U310" s="12">
        <f t="shared" si="28"/>
        <v>0</v>
      </c>
      <c r="V310" s="545">
        <f>U310*係数!$C$30*0.0000258</f>
        <v>0</v>
      </c>
      <c r="W310" s="543">
        <f t="shared" si="29"/>
        <v>0</v>
      </c>
    </row>
    <row r="311" spans="2:23" x14ac:dyDescent="0.55000000000000004">
      <c r="B311" s="194" t="s">
        <v>780</v>
      </c>
      <c r="C311" s="25"/>
      <c r="D311" s="128"/>
      <c r="E311" s="6"/>
      <c r="F311" s="101"/>
      <c r="G311" s="101"/>
      <c r="H311" s="137"/>
      <c r="I311" s="6"/>
      <c r="J311" s="100">
        <f t="shared" si="24"/>
        <v>0</v>
      </c>
      <c r="K311" s="100">
        <f t="shared" si="25"/>
        <v>0</v>
      </c>
      <c r="L311" s="88">
        <f>K311*係数!$H$30</f>
        <v>0</v>
      </c>
      <c r="M311" s="25"/>
      <c r="N311" s="6"/>
      <c r="O311" s="6"/>
      <c r="P311" s="137"/>
      <c r="Q311" s="6"/>
      <c r="R311" s="533">
        <f t="shared" si="26"/>
        <v>0</v>
      </c>
      <c r="S311" s="12">
        <f t="shared" si="27"/>
        <v>0</v>
      </c>
      <c r="T311" s="88">
        <f>S311*係数!$H$30</f>
        <v>0</v>
      </c>
      <c r="U311" s="12">
        <f t="shared" si="28"/>
        <v>0</v>
      </c>
      <c r="V311" s="545">
        <f>U311*係数!$C$30*0.0000258</f>
        <v>0</v>
      </c>
      <c r="W311" s="543">
        <f t="shared" si="29"/>
        <v>0</v>
      </c>
    </row>
    <row r="312" spans="2:23" x14ac:dyDescent="0.55000000000000004">
      <c r="B312" s="194" t="s">
        <v>781</v>
      </c>
      <c r="C312" s="25"/>
      <c r="D312" s="128"/>
      <c r="E312" s="6"/>
      <c r="F312" s="101"/>
      <c r="G312" s="101"/>
      <c r="H312" s="137"/>
      <c r="I312" s="6"/>
      <c r="J312" s="100">
        <f t="shared" si="24"/>
        <v>0</v>
      </c>
      <c r="K312" s="100">
        <f t="shared" si="25"/>
        <v>0</v>
      </c>
      <c r="L312" s="88">
        <f>K312*係数!$H$30</f>
        <v>0</v>
      </c>
      <c r="M312" s="25"/>
      <c r="N312" s="6"/>
      <c r="O312" s="6"/>
      <c r="P312" s="137"/>
      <c r="Q312" s="6"/>
      <c r="R312" s="533">
        <f t="shared" si="26"/>
        <v>0</v>
      </c>
      <c r="S312" s="12">
        <f t="shared" si="27"/>
        <v>0</v>
      </c>
      <c r="T312" s="88">
        <f>S312*係数!$H$30</f>
        <v>0</v>
      </c>
      <c r="U312" s="12">
        <f t="shared" si="28"/>
        <v>0</v>
      </c>
      <c r="V312" s="545">
        <f>U312*係数!$C$30*0.0000258</f>
        <v>0</v>
      </c>
      <c r="W312" s="543">
        <f t="shared" si="29"/>
        <v>0</v>
      </c>
    </row>
    <row r="313" spans="2:23" x14ac:dyDescent="0.55000000000000004">
      <c r="B313" s="194" t="s">
        <v>782</v>
      </c>
      <c r="C313" s="25"/>
      <c r="D313" s="128"/>
      <c r="E313" s="6"/>
      <c r="F313" s="101"/>
      <c r="G313" s="101"/>
      <c r="H313" s="137"/>
      <c r="I313" s="6"/>
      <c r="J313" s="100">
        <f t="shared" si="24"/>
        <v>0</v>
      </c>
      <c r="K313" s="100">
        <f t="shared" si="25"/>
        <v>0</v>
      </c>
      <c r="L313" s="88">
        <f>K313*係数!$H$30</f>
        <v>0</v>
      </c>
      <c r="M313" s="25"/>
      <c r="N313" s="6"/>
      <c r="O313" s="6"/>
      <c r="P313" s="137"/>
      <c r="Q313" s="6"/>
      <c r="R313" s="533">
        <f t="shared" si="26"/>
        <v>0</v>
      </c>
      <c r="S313" s="12">
        <f t="shared" si="27"/>
        <v>0</v>
      </c>
      <c r="T313" s="88">
        <f>S313*係数!$H$30</f>
        <v>0</v>
      </c>
      <c r="U313" s="12">
        <f t="shared" si="28"/>
        <v>0</v>
      </c>
      <c r="V313" s="545">
        <f>U313*係数!$C$30*0.0000258</f>
        <v>0</v>
      </c>
      <c r="W313" s="543">
        <f t="shared" si="29"/>
        <v>0</v>
      </c>
    </row>
    <row r="314" spans="2:23" x14ac:dyDescent="0.55000000000000004">
      <c r="B314" s="194" t="s">
        <v>783</v>
      </c>
      <c r="C314" s="25"/>
      <c r="D314" s="128"/>
      <c r="E314" s="6"/>
      <c r="F314" s="101"/>
      <c r="G314" s="101"/>
      <c r="H314" s="137"/>
      <c r="I314" s="6"/>
      <c r="J314" s="100">
        <f t="shared" si="24"/>
        <v>0</v>
      </c>
      <c r="K314" s="100">
        <f t="shared" si="25"/>
        <v>0</v>
      </c>
      <c r="L314" s="88">
        <f>K314*係数!$H$30</f>
        <v>0</v>
      </c>
      <c r="M314" s="25"/>
      <c r="N314" s="6"/>
      <c r="O314" s="6"/>
      <c r="P314" s="137"/>
      <c r="Q314" s="6"/>
      <c r="R314" s="533">
        <f t="shared" si="26"/>
        <v>0</v>
      </c>
      <c r="S314" s="12">
        <f t="shared" si="27"/>
        <v>0</v>
      </c>
      <c r="T314" s="88">
        <f>S314*係数!$H$30</f>
        <v>0</v>
      </c>
      <c r="U314" s="12">
        <f t="shared" si="28"/>
        <v>0</v>
      </c>
      <c r="V314" s="545">
        <f>U314*係数!$C$30*0.0000258</f>
        <v>0</v>
      </c>
      <c r="W314" s="543">
        <f t="shared" si="29"/>
        <v>0</v>
      </c>
    </row>
    <row r="315" spans="2:23" x14ac:dyDescent="0.55000000000000004">
      <c r="B315" s="194" t="s">
        <v>784</v>
      </c>
      <c r="C315" s="25"/>
      <c r="D315" s="128"/>
      <c r="E315" s="6"/>
      <c r="F315" s="101"/>
      <c r="G315" s="101"/>
      <c r="H315" s="137"/>
      <c r="I315" s="6"/>
      <c r="J315" s="100">
        <f t="shared" si="24"/>
        <v>0</v>
      </c>
      <c r="K315" s="100">
        <f t="shared" si="25"/>
        <v>0</v>
      </c>
      <c r="L315" s="88">
        <f>K315*係数!$H$30</f>
        <v>0</v>
      </c>
      <c r="M315" s="25"/>
      <c r="N315" s="6"/>
      <c r="O315" s="6"/>
      <c r="P315" s="137"/>
      <c r="Q315" s="6"/>
      <c r="R315" s="533">
        <f t="shared" si="26"/>
        <v>0</v>
      </c>
      <c r="S315" s="12">
        <f t="shared" si="27"/>
        <v>0</v>
      </c>
      <c r="T315" s="88">
        <f>S315*係数!$H$30</f>
        <v>0</v>
      </c>
      <c r="U315" s="12">
        <f t="shared" si="28"/>
        <v>0</v>
      </c>
      <c r="V315" s="545">
        <f>U315*係数!$C$30*0.0000258</f>
        <v>0</v>
      </c>
      <c r="W315" s="543">
        <f t="shared" si="29"/>
        <v>0</v>
      </c>
    </row>
    <row r="316" spans="2:23" x14ac:dyDescent="0.55000000000000004">
      <c r="B316" s="194" t="s">
        <v>785</v>
      </c>
      <c r="C316" s="25"/>
      <c r="D316" s="128"/>
      <c r="E316" s="6"/>
      <c r="F316" s="101"/>
      <c r="G316" s="101"/>
      <c r="H316" s="137"/>
      <c r="I316" s="6"/>
      <c r="J316" s="100">
        <f t="shared" si="24"/>
        <v>0</v>
      </c>
      <c r="K316" s="100">
        <f t="shared" si="25"/>
        <v>0</v>
      </c>
      <c r="L316" s="88">
        <f>K316*係数!$H$30</f>
        <v>0</v>
      </c>
      <c r="M316" s="25"/>
      <c r="N316" s="6"/>
      <c r="O316" s="6"/>
      <c r="P316" s="137"/>
      <c r="Q316" s="6"/>
      <c r="R316" s="533">
        <f t="shared" si="26"/>
        <v>0</v>
      </c>
      <c r="S316" s="12">
        <f t="shared" si="27"/>
        <v>0</v>
      </c>
      <c r="T316" s="88">
        <f>S316*係数!$H$30</f>
        <v>0</v>
      </c>
      <c r="U316" s="12">
        <f t="shared" si="28"/>
        <v>0</v>
      </c>
      <c r="V316" s="545">
        <f>U316*係数!$C$30*0.0000258</f>
        <v>0</v>
      </c>
      <c r="W316" s="543">
        <f t="shared" si="29"/>
        <v>0</v>
      </c>
    </row>
    <row r="317" spans="2:23" x14ac:dyDescent="0.55000000000000004">
      <c r="B317" s="194" t="s">
        <v>786</v>
      </c>
      <c r="C317" s="25"/>
      <c r="D317" s="128"/>
      <c r="E317" s="6"/>
      <c r="F317" s="101"/>
      <c r="G317" s="101"/>
      <c r="H317" s="137"/>
      <c r="I317" s="6"/>
      <c r="J317" s="100">
        <f t="shared" si="24"/>
        <v>0</v>
      </c>
      <c r="K317" s="100">
        <f t="shared" si="25"/>
        <v>0</v>
      </c>
      <c r="L317" s="88">
        <f>K317*係数!$H$30</f>
        <v>0</v>
      </c>
      <c r="M317" s="25"/>
      <c r="N317" s="6"/>
      <c r="O317" s="6"/>
      <c r="P317" s="137"/>
      <c r="Q317" s="6"/>
      <c r="R317" s="533">
        <f t="shared" si="26"/>
        <v>0</v>
      </c>
      <c r="S317" s="12">
        <f t="shared" si="27"/>
        <v>0</v>
      </c>
      <c r="T317" s="88">
        <f>S317*係数!$H$30</f>
        <v>0</v>
      </c>
      <c r="U317" s="12">
        <f t="shared" si="28"/>
        <v>0</v>
      </c>
      <c r="V317" s="545">
        <f>U317*係数!$C$30*0.0000258</f>
        <v>0</v>
      </c>
      <c r="W317" s="543">
        <f t="shared" si="29"/>
        <v>0</v>
      </c>
    </row>
    <row r="318" spans="2:23" x14ac:dyDescent="0.55000000000000004">
      <c r="B318" s="194" t="s">
        <v>787</v>
      </c>
      <c r="C318" s="25"/>
      <c r="D318" s="128"/>
      <c r="E318" s="6"/>
      <c r="F318" s="101"/>
      <c r="G318" s="101"/>
      <c r="H318" s="137"/>
      <c r="I318" s="6"/>
      <c r="J318" s="100">
        <f t="shared" si="24"/>
        <v>0</v>
      </c>
      <c r="K318" s="100">
        <f t="shared" si="25"/>
        <v>0</v>
      </c>
      <c r="L318" s="88">
        <f>K318*係数!$H$30</f>
        <v>0</v>
      </c>
      <c r="M318" s="25"/>
      <c r="N318" s="6"/>
      <c r="O318" s="6"/>
      <c r="P318" s="137"/>
      <c r="Q318" s="6"/>
      <c r="R318" s="533">
        <f t="shared" si="26"/>
        <v>0</v>
      </c>
      <c r="S318" s="12">
        <f t="shared" si="27"/>
        <v>0</v>
      </c>
      <c r="T318" s="88">
        <f>S318*係数!$H$30</f>
        <v>0</v>
      </c>
      <c r="U318" s="12">
        <f t="shared" si="28"/>
        <v>0</v>
      </c>
      <c r="V318" s="545">
        <f>U318*係数!$C$30*0.0000258</f>
        <v>0</v>
      </c>
      <c r="W318" s="543">
        <f t="shared" si="29"/>
        <v>0</v>
      </c>
    </row>
    <row r="319" spans="2:23" x14ac:dyDescent="0.55000000000000004">
      <c r="B319" s="194" t="s">
        <v>788</v>
      </c>
      <c r="C319" s="25"/>
      <c r="D319" s="128"/>
      <c r="E319" s="6"/>
      <c r="F319" s="101"/>
      <c r="G319" s="101"/>
      <c r="H319" s="137"/>
      <c r="I319" s="6"/>
      <c r="J319" s="100">
        <f t="shared" si="24"/>
        <v>0</v>
      </c>
      <c r="K319" s="100">
        <f t="shared" si="25"/>
        <v>0</v>
      </c>
      <c r="L319" s="88">
        <f>K319*係数!$H$30</f>
        <v>0</v>
      </c>
      <c r="M319" s="25"/>
      <c r="N319" s="6"/>
      <c r="O319" s="6"/>
      <c r="P319" s="137"/>
      <c r="Q319" s="6"/>
      <c r="R319" s="533">
        <f t="shared" si="26"/>
        <v>0</v>
      </c>
      <c r="S319" s="12">
        <f t="shared" si="27"/>
        <v>0</v>
      </c>
      <c r="T319" s="88">
        <f>S319*係数!$H$30</f>
        <v>0</v>
      </c>
      <c r="U319" s="12">
        <f t="shared" si="28"/>
        <v>0</v>
      </c>
      <c r="V319" s="545">
        <f>U319*係数!$C$30*0.0000258</f>
        <v>0</v>
      </c>
      <c r="W319" s="543">
        <f t="shared" si="29"/>
        <v>0</v>
      </c>
    </row>
    <row r="320" spans="2:23" x14ac:dyDescent="0.55000000000000004">
      <c r="B320" s="194" t="s">
        <v>789</v>
      </c>
      <c r="C320" s="25"/>
      <c r="D320" s="128"/>
      <c r="E320" s="6"/>
      <c r="F320" s="101"/>
      <c r="G320" s="101"/>
      <c r="H320" s="137"/>
      <c r="I320" s="6"/>
      <c r="J320" s="100">
        <f t="shared" si="24"/>
        <v>0</v>
      </c>
      <c r="K320" s="100">
        <f t="shared" si="25"/>
        <v>0</v>
      </c>
      <c r="L320" s="88">
        <f>K320*係数!$H$30</f>
        <v>0</v>
      </c>
      <c r="M320" s="25"/>
      <c r="N320" s="6"/>
      <c r="O320" s="6"/>
      <c r="P320" s="137"/>
      <c r="Q320" s="6"/>
      <c r="R320" s="533">
        <f t="shared" si="26"/>
        <v>0</v>
      </c>
      <c r="S320" s="12">
        <f t="shared" si="27"/>
        <v>0</v>
      </c>
      <c r="T320" s="88">
        <f>S320*係数!$H$30</f>
        <v>0</v>
      </c>
      <c r="U320" s="12">
        <f t="shared" si="28"/>
        <v>0</v>
      </c>
      <c r="V320" s="545">
        <f>U320*係数!$C$30*0.0000258</f>
        <v>0</v>
      </c>
      <c r="W320" s="543">
        <f t="shared" si="29"/>
        <v>0</v>
      </c>
    </row>
    <row r="321" spans="2:23" x14ac:dyDescent="0.55000000000000004">
      <c r="B321" s="194" t="s">
        <v>790</v>
      </c>
      <c r="C321" s="25"/>
      <c r="D321" s="128"/>
      <c r="E321" s="6"/>
      <c r="F321" s="101"/>
      <c r="G321" s="101"/>
      <c r="H321" s="137"/>
      <c r="I321" s="6"/>
      <c r="J321" s="100">
        <f t="shared" si="24"/>
        <v>0</v>
      </c>
      <c r="K321" s="100">
        <f t="shared" si="25"/>
        <v>0</v>
      </c>
      <c r="L321" s="88">
        <f>K321*係数!$H$30</f>
        <v>0</v>
      </c>
      <c r="M321" s="25"/>
      <c r="N321" s="6"/>
      <c r="O321" s="6"/>
      <c r="P321" s="137"/>
      <c r="Q321" s="6"/>
      <c r="R321" s="533">
        <f t="shared" si="26"/>
        <v>0</v>
      </c>
      <c r="S321" s="12">
        <f t="shared" si="27"/>
        <v>0</v>
      </c>
      <c r="T321" s="88">
        <f>S321*係数!$H$30</f>
        <v>0</v>
      </c>
      <c r="U321" s="12">
        <f t="shared" si="28"/>
        <v>0</v>
      </c>
      <c r="V321" s="545">
        <f>U321*係数!$C$30*0.0000258</f>
        <v>0</v>
      </c>
      <c r="W321" s="543">
        <f t="shared" si="29"/>
        <v>0</v>
      </c>
    </row>
    <row r="322" spans="2:23" x14ac:dyDescent="0.55000000000000004">
      <c r="B322" s="194" t="s">
        <v>791</v>
      </c>
      <c r="C322" s="25"/>
      <c r="D322" s="128"/>
      <c r="E322" s="6"/>
      <c r="F322" s="101"/>
      <c r="G322" s="101"/>
      <c r="H322" s="137"/>
      <c r="I322" s="6"/>
      <c r="J322" s="100">
        <f t="shared" si="24"/>
        <v>0</v>
      </c>
      <c r="K322" s="100">
        <f t="shared" si="25"/>
        <v>0</v>
      </c>
      <c r="L322" s="88">
        <f>K322*係数!$H$30</f>
        <v>0</v>
      </c>
      <c r="M322" s="25"/>
      <c r="N322" s="6"/>
      <c r="O322" s="6"/>
      <c r="P322" s="137"/>
      <c r="Q322" s="6"/>
      <c r="R322" s="533">
        <f t="shared" si="26"/>
        <v>0</v>
      </c>
      <c r="S322" s="12">
        <f t="shared" si="27"/>
        <v>0</v>
      </c>
      <c r="T322" s="88">
        <f>S322*係数!$H$30</f>
        <v>0</v>
      </c>
      <c r="U322" s="12">
        <f t="shared" si="28"/>
        <v>0</v>
      </c>
      <c r="V322" s="545">
        <f>U322*係数!$C$30*0.0000258</f>
        <v>0</v>
      </c>
      <c r="W322" s="543">
        <f t="shared" si="29"/>
        <v>0</v>
      </c>
    </row>
    <row r="323" spans="2:23" x14ac:dyDescent="0.55000000000000004">
      <c r="B323" s="194" t="s">
        <v>792</v>
      </c>
      <c r="C323" s="25"/>
      <c r="D323" s="128"/>
      <c r="E323" s="6"/>
      <c r="F323" s="101"/>
      <c r="G323" s="101"/>
      <c r="H323" s="137"/>
      <c r="I323" s="6"/>
      <c r="J323" s="100">
        <f t="shared" si="24"/>
        <v>0</v>
      </c>
      <c r="K323" s="100">
        <f t="shared" si="25"/>
        <v>0</v>
      </c>
      <c r="L323" s="88">
        <f>K323*係数!$H$30</f>
        <v>0</v>
      </c>
      <c r="M323" s="25"/>
      <c r="N323" s="6"/>
      <c r="O323" s="6"/>
      <c r="P323" s="137"/>
      <c r="Q323" s="6"/>
      <c r="R323" s="533">
        <f t="shared" si="26"/>
        <v>0</v>
      </c>
      <c r="S323" s="12">
        <f t="shared" si="27"/>
        <v>0</v>
      </c>
      <c r="T323" s="88">
        <f>S323*係数!$H$30</f>
        <v>0</v>
      </c>
      <c r="U323" s="12">
        <f t="shared" si="28"/>
        <v>0</v>
      </c>
      <c r="V323" s="545">
        <f>U323*係数!$C$30*0.0000258</f>
        <v>0</v>
      </c>
      <c r="W323" s="543">
        <f t="shared" si="29"/>
        <v>0</v>
      </c>
    </row>
    <row r="324" spans="2:23" x14ac:dyDescent="0.55000000000000004">
      <c r="B324" s="194" t="s">
        <v>793</v>
      </c>
      <c r="C324" s="25"/>
      <c r="D324" s="128"/>
      <c r="E324" s="6"/>
      <c r="F324" s="101"/>
      <c r="G324" s="101"/>
      <c r="H324" s="137"/>
      <c r="I324" s="6"/>
      <c r="J324" s="100">
        <f t="shared" ref="J324:J387" si="30">IF(H324="",F324*G324,F324*G324*I324/100)</f>
        <v>0</v>
      </c>
      <c r="K324" s="100">
        <f t="shared" ref="K324:K387" si="31">D324*E324*J324/1000</f>
        <v>0</v>
      </c>
      <c r="L324" s="88">
        <f>K324*係数!$H$30</f>
        <v>0</v>
      </c>
      <c r="M324" s="25"/>
      <c r="N324" s="6"/>
      <c r="O324" s="6"/>
      <c r="P324" s="137"/>
      <c r="Q324" s="6"/>
      <c r="R324" s="533">
        <f t="shared" si="26"/>
        <v>0</v>
      </c>
      <c r="S324" s="12">
        <f t="shared" si="27"/>
        <v>0</v>
      </c>
      <c r="T324" s="88">
        <f>S324*係数!$H$30</f>
        <v>0</v>
      </c>
      <c r="U324" s="12">
        <f t="shared" si="28"/>
        <v>0</v>
      </c>
      <c r="V324" s="545">
        <f>U324*係数!$C$30*0.0000258</f>
        <v>0</v>
      </c>
      <c r="W324" s="543">
        <f t="shared" si="29"/>
        <v>0</v>
      </c>
    </row>
    <row r="325" spans="2:23" x14ac:dyDescent="0.55000000000000004">
      <c r="B325" s="194" t="s">
        <v>794</v>
      </c>
      <c r="C325" s="25"/>
      <c r="D325" s="128"/>
      <c r="E325" s="6"/>
      <c r="F325" s="101"/>
      <c r="G325" s="101"/>
      <c r="H325" s="137"/>
      <c r="I325" s="6"/>
      <c r="J325" s="100">
        <f t="shared" si="30"/>
        <v>0</v>
      </c>
      <c r="K325" s="100">
        <f t="shared" si="31"/>
        <v>0</v>
      </c>
      <c r="L325" s="88">
        <f>K325*係数!$H$30</f>
        <v>0</v>
      </c>
      <c r="M325" s="25"/>
      <c r="N325" s="6"/>
      <c r="O325" s="6"/>
      <c r="P325" s="137"/>
      <c r="Q325" s="6"/>
      <c r="R325" s="533">
        <f t="shared" si="26"/>
        <v>0</v>
      </c>
      <c r="S325" s="12">
        <f t="shared" si="27"/>
        <v>0</v>
      </c>
      <c r="T325" s="88">
        <f>S325*係数!$H$30</f>
        <v>0</v>
      </c>
      <c r="U325" s="12">
        <f t="shared" si="28"/>
        <v>0</v>
      </c>
      <c r="V325" s="545">
        <f>U325*係数!$C$30*0.0000258</f>
        <v>0</v>
      </c>
      <c r="W325" s="543">
        <f t="shared" si="29"/>
        <v>0</v>
      </c>
    </row>
    <row r="326" spans="2:23" x14ac:dyDescent="0.55000000000000004">
      <c r="B326" s="194" t="s">
        <v>795</v>
      </c>
      <c r="C326" s="25"/>
      <c r="D326" s="128"/>
      <c r="E326" s="6"/>
      <c r="F326" s="101"/>
      <c r="G326" s="101"/>
      <c r="H326" s="137"/>
      <c r="I326" s="6"/>
      <c r="J326" s="100">
        <f t="shared" si="30"/>
        <v>0</v>
      </c>
      <c r="K326" s="100">
        <f t="shared" si="31"/>
        <v>0</v>
      </c>
      <c r="L326" s="88">
        <f>K326*係数!$H$30</f>
        <v>0</v>
      </c>
      <c r="M326" s="25"/>
      <c r="N326" s="6"/>
      <c r="O326" s="6"/>
      <c r="P326" s="137"/>
      <c r="Q326" s="6"/>
      <c r="R326" s="533">
        <f t="shared" si="26"/>
        <v>0</v>
      </c>
      <c r="S326" s="12">
        <f t="shared" si="27"/>
        <v>0</v>
      </c>
      <c r="T326" s="88">
        <f>S326*係数!$H$30</f>
        <v>0</v>
      </c>
      <c r="U326" s="12">
        <f t="shared" si="28"/>
        <v>0</v>
      </c>
      <c r="V326" s="545">
        <f>U326*係数!$C$30*0.0000258</f>
        <v>0</v>
      </c>
      <c r="W326" s="543">
        <f t="shared" si="29"/>
        <v>0</v>
      </c>
    </row>
    <row r="327" spans="2:23" x14ac:dyDescent="0.55000000000000004">
      <c r="B327" s="194" t="s">
        <v>796</v>
      </c>
      <c r="C327" s="25"/>
      <c r="D327" s="128"/>
      <c r="E327" s="6"/>
      <c r="F327" s="101"/>
      <c r="G327" s="101"/>
      <c r="H327" s="137"/>
      <c r="I327" s="6"/>
      <c r="J327" s="100">
        <f t="shared" si="30"/>
        <v>0</v>
      </c>
      <c r="K327" s="100">
        <f t="shared" si="31"/>
        <v>0</v>
      </c>
      <c r="L327" s="88">
        <f>K327*係数!$H$30</f>
        <v>0</v>
      </c>
      <c r="M327" s="25"/>
      <c r="N327" s="6"/>
      <c r="O327" s="6"/>
      <c r="P327" s="137"/>
      <c r="Q327" s="6"/>
      <c r="R327" s="533">
        <f t="shared" si="26"/>
        <v>0</v>
      </c>
      <c r="S327" s="12">
        <f t="shared" si="27"/>
        <v>0</v>
      </c>
      <c r="T327" s="88">
        <f>S327*係数!$H$30</f>
        <v>0</v>
      </c>
      <c r="U327" s="12">
        <f t="shared" si="28"/>
        <v>0</v>
      </c>
      <c r="V327" s="545">
        <f>U327*係数!$C$30*0.0000258</f>
        <v>0</v>
      </c>
      <c r="W327" s="543">
        <f t="shared" si="29"/>
        <v>0</v>
      </c>
    </row>
    <row r="328" spans="2:23" x14ac:dyDescent="0.55000000000000004">
      <c r="B328" s="194" t="s">
        <v>797</v>
      </c>
      <c r="C328" s="25"/>
      <c r="D328" s="128"/>
      <c r="E328" s="6"/>
      <c r="F328" s="101"/>
      <c r="G328" s="101"/>
      <c r="H328" s="137"/>
      <c r="I328" s="6"/>
      <c r="J328" s="100">
        <f t="shared" si="30"/>
        <v>0</v>
      </c>
      <c r="K328" s="100">
        <f t="shared" si="31"/>
        <v>0</v>
      </c>
      <c r="L328" s="88">
        <f>K328*係数!$H$30</f>
        <v>0</v>
      </c>
      <c r="M328" s="25"/>
      <c r="N328" s="6"/>
      <c r="O328" s="6"/>
      <c r="P328" s="137"/>
      <c r="Q328" s="6"/>
      <c r="R328" s="533">
        <f t="shared" si="26"/>
        <v>0</v>
      </c>
      <c r="S328" s="12">
        <f t="shared" si="27"/>
        <v>0</v>
      </c>
      <c r="T328" s="88">
        <f>S328*係数!$H$30</f>
        <v>0</v>
      </c>
      <c r="U328" s="12">
        <f t="shared" si="28"/>
        <v>0</v>
      </c>
      <c r="V328" s="545">
        <f>U328*係数!$C$30*0.0000258</f>
        <v>0</v>
      </c>
      <c r="W328" s="543">
        <f t="shared" si="29"/>
        <v>0</v>
      </c>
    </row>
    <row r="329" spans="2:23" x14ac:dyDescent="0.55000000000000004">
      <c r="B329" s="194" t="s">
        <v>798</v>
      </c>
      <c r="C329" s="25"/>
      <c r="D329" s="128"/>
      <c r="E329" s="6"/>
      <c r="F329" s="101"/>
      <c r="G329" s="101"/>
      <c r="H329" s="137"/>
      <c r="I329" s="6"/>
      <c r="J329" s="100">
        <f t="shared" si="30"/>
        <v>0</v>
      </c>
      <c r="K329" s="100">
        <f t="shared" si="31"/>
        <v>0</v>
      </c>
      <c r="L329" s="88">
        <f>K329*係数!$H$30</f>
        <v>0</v>
      </c>
      <c r="M329" s="25"/>
      <c r="N329" s="6"/>
      <c r="O329" s="6"/>
      <c r="P329" s="137"/>
      <c r="Q329" s="6"/>
      <c r="R329" s="533">
        <f t="shared" si="26"/>
        <v>0</v>
      </c>
      <c r="S329" s="12">
        <f t="shared" si="27"/>
        <v>0</v>
      </c>
      <c r="T329" s="88">
        <f>S329*係数!$H$30</f>
        <v>0</v>
      </c>
      <c r="U329" s="12">
        <f t="shared" si="28"/>
        <v>0</v>
      </c>
      <c r="V329" s="545">
        <f>U329*係数!$C$30*0.0000258</f>
        <v>0</v>
      </c>
      <c r="W329" s="543">
        <f t="shared" si="29"/>
        <v>0</v>
      </c>
    </row>
    <row r="330" spans="2:23" x14ac:dyDescent="0.55000000000000004">
      <c r="B330" s="194" t="s">
        <v>799</v>
      </c>
      <c r="C330" s="25"/>
      <c r="D330" s="128"/>
      <c r="E330" s="6"/>
      <c r="F330" s="101"/>
      <c r="G330" s="101"/>
      <c r="H330" s="137"/>
      <c r="I330" s="6"/>
      <c r="J330" s="100">
        <f t="shared" si="30"/>
        <v>0</v>
      </c>
      <c r="K330" s="100">
        <f t="shared" si="31"/>
        <v>0</v>
      </c>
      <c r="L330" s="88">
        <f>K330*係数!$H$30</f>
        <v>0</v>
      </c>
      <c r="M330" s="25"/>
      <c r="N330" s="6"/>
      <c r="O330" s="6"/>
      <c r="P330" s="137"/>
      <c r="Q330" s="6"/>
      <c r="R330" s="533">
        <f t="shared" si="26"/>
        <v>0</v>
      </c>
      <c r="S330" s="12">
        <f t="shared" si="27"/>
        <v>0</v>
      </c>
      <c r="T330" s="88">
        <f>S330*係数!$H$30</f>
        <v>0</v>
      </c>
      <c r="U330" s="12">
        <f t="shared" si="28"/>
        <v>0</v>
      </c>
      <c r="V330" s="545">
        <f>U330*係数!$C$30*0.0000258</f>
        <v>0</v>
      </c>
      <c r="W330" s="543">
        <f t="shared" si="29"/>
        <v>0</v>
      </c>
    </row>
    <row r="331" spans="2:23" x14ac:dyDescent="0.55000000000000004">
      <c r="B331" s="194" t="s">
        <v>800</v>
      </c>
      <c r="C331" s="25"/>
      <c r="D331" s="128"/>
      <c r="E331" s="6"/>
      <c r="F331" s="101"/>
      <c r="G331" s="101"/>
      <c r="H331" s="137"/>
      <c r="I331" s="6"/>
      <c r="J331" s="100">
        <f t="shared" si="30"/>
        <v>0</v>
      </c>
      <c r="K331" s="100">
        <f t="shared" si="31"/>
        <v>0</v>
      </c>
      <c r="L331" s="88">
        <f>K331*係数!$H$30</f>
        <v>0</v>
      </c>
      <c r="M331" s="25"/>
      <c r="N331" s="6"/>
      <c r="O331" s="6"/>
      <c r="P331" s="137"/>
      <c r="Q331" s="6"/>
      <c r="R331" s="533">
        <f t="shared" si="26"/>
        <v>0</v>
      </c>
      <c r="S331" s="12">
        <f t="shared" si="27"/>
        <v>0</v>
      </c>
      <c r="T331" s="88">
        <f>S331*係数!$H$30</f>
        <v>0</v>
      </c>
      <c r="U331" s="12">
        <f t="shared" si="28"/>
        <v>0</v>
      </c>
      <c r="V331" s="545">
        <f>U331*係数!$C$30*0.0000258</f>
        <v>0</v>
      </c>
      <c r="W331" s="543">
        <f t="shared" si="29"/>
        <v>0</v>
      </c>
    </row>
    <row r="332" spans="2:23" x14ac:dyDescent="0.55000000000000004">
      <c r="B332" s="194" t="s">
        <v>801</v>
      </c>
      <c r="C332" s="25"/>
      <c r="D332" s="128"/>
      <c r="E332" s="6"/>
      <c r="F332" s="101"/>
      <c r="G332" s="101"/>
      <c r="H332" s="137"/>
      <c r="I332" s="6"/>
      <c r="J332" s="100">
        <f t="shared" si="30"/>
        <v>0</v>
      </c>
      <c r="K332" s="100">
        <f t="shared" si="31"/>
        <v>0</v>
      </c>
      <c r="L332" s="88">
        <f>K332*係数!$H$30</f>
        <v>0</v>
      </c>
      <c r="M332" s="25"/>
      <c r="N332" s="6"/>
      <c r="O332" s="6"/>
      <c r="P332" s="137"/>
      <c r="Q332" s="6"/>
      <c r="R332" s="533">
        <f t="shared" si="26"/>
        <v>0</v>
      </c>
      <c r="S332" s="12">
        <f t="shared" si="27"/>
        <v>0</v>
      </c>
      <c r="T332" s="88">
        <f>S332*係数!$H$30</f>
        <v>0</v>
      </c>
      <c r="U332" s="12">
        <f t="shared" si="28"/>
        <v>0</v>
      </c>
      <c r="V332" s="545">
        <f>U332*係数!$C$30*0.0000258</f>
        <v>0</v>
      </c>
      <c r="W332" s="543">
        <f t="shared" si="29"/>
        <v>0</v>
      </c>
    </row>
    <row r="333" spans="2:23" x14ac:dyDescent="0.55000000000000004">
      <c r="B333" s="194" t="s">
        <v>802</v>
      </c>
      <c r="C333" s="25"/>
      <c r="D333" s="128"/>
      <c r="E333" s="6"/>
      <c r="F333" s="101"/>
      <c r="G333" s="101"/>
      <c r="H333" s="137"/>
      <c r="I333" s="6"/>
      <c r="J333" s="100">
        <f t="shared" si="30"/>
        <v>0</v>
      </c>
      <c r="K333" s="100">
        <f t="shared" si="31"/>
        <v>0</v>
      </c>
      <c r="L333" s="88">
        <f>K333*係数!$H$30</f>
        <v>0</v>
      </c>
      <c r="M333" s="25"/>
      <c r="N333" s="6"/>
      <c r="O333" s="6"/>
      <c r="P333" s="137"/>
      <c r="Q333" s="6"/>
      <c r="R333" s="533">
        <f t="shared" si="26"/>
        <v>0</v>
      </c>
      <c r="S333" s="12">
        <f t="shared" si="27"/>
        <v>0</v>
      </c>
      <c r="T333" s="88">
        <f>S333*係数!$H$30</f>
        <v>0</v>
      </c>
      <c r="U333" s="12">
        <f t="shared" si="28"/>
        <v>0</v>
      </c>
      <c r="V333" s="545">
        <f>U333*係数!$C$30*0.0000258</f>
        <v>0</v>
      </c>
      <c r="W333" s="543">
        <f t="shared" si="29"/>
        <v>0</v>
      </c>
    </row>
    <row r="334" spans="2:23" x14ac:dyDescent="0.55000000000000004">
      <c r="B334" s="194" t="s">
        <v>803</v>
      </c>
      <c r="C334" s="25"/>
      <c r="D334" s="128"/>
      <c r="E334" s="6"/>
      <c r="F334" s="101"/>
      <c r="G334" s="101"/>
      <c r="H334" s="137"/>
      <c r="I334" s="6"/>
      <c r="J334" s="100">
        <f t="shared" si="30"/>
        <v>0</v>
      </c>
      <c r="K334" s="100">
        <f t="shared" si="31"/>
        <v>0</v>
      </c>
      <c r="L334" s="88">
        <f>K334*係数!$H$30</f>
        <v>0</v>
      </c>
      <c r="M334" s="25"/>
      <c r="N334" s="6"/>
      <c r="O334" s="6"/>
      <c r="P334" s="137"/>
      <c r="Q334" s="6"/>
      <c r="R334" s="533">
        <f t="shared" si="26"/>
        <v>0</v>
      </c>
      <c r="S334" s="12">
        <f t="shared" si="27"/>
        <v>0</v>
      </c>
      <c r="T334" s="88">
        <f>S334*係数!$H$30</f>
        <v>0</v>
      </c>
      <c r="U334" s="12">
        <f t="shared" si="28"/>
        <v>0</v>
      </c>
      <c r="V334" s="545">
        <f>U334*係数!$C$30*0.0000258</f>
        <v>0</v>
      </c>
      <c r="W334" s="543">
        <f t="shared" si="29"/>
        <v>0</v>
      </c>
    </row>
    <row r="335" spans="2:23" x14ac:dyDescent="0.55000000000000004">
      <c r="B335" s="194" t="s">
        <v>804</v>
      </c>
      <c r="C335" s="25"/>
      <c r="D335" s="128"/>
      <c r="E335" s="6"/>
      <c r="F335" s="101"/>
      <c r="G335" s="101"/>
      <c r="H335" s="137"/>
      <c r="I335" s="6"/>
      <c r="J335" s="100">
        <f t="shared" si="30"/>
        <v>0</v>
      </c>
      <c r="K335" s="100">
        <f t="shared" si="31"/>
        <v>0</v>
      </c>
      <c r="L335" s="88">
        <f>K335*係数!$H$30</f>
        <v>0</v>
      </c>
      <c r="M335" s="25"/>
      <c r="N335" s="6"/>
      <c r="O335" s="6"/>
      <c r="P335" s="137"/>
      <c r="Q335" s="6"/>
      <c r="R335" s="533">
        <f t="shared" si="26"/>
        <v>0</v>
      </c>
      <c r="S335" s="12">
        <f t="shared" si="27"/>
        <v>0</v>
      </c>
      <c r="T335" s="88">
        <f>S335*係数!$H$30</f>
        <v>0</v>
      </c>
      <c r="U335" s="12">
        <f t="shared" si="28"/>
        <v>0</v>
      </c>
      <c r="V335" s="545">
        <f>U335*係数!$C$30*0.0000258</f>
        <v>0</v>
      </c>
      <c r="W335" s="543">
        <f t="shared" si="29"/>
        <v>0</v>
      </c>
    </row>
    <row r="336" spans="2:23" x14ac:dyDescent="0.55000000000000004">
      <c r="B336" s="194" t="s">
        <v>805</v>
      </c>
      <c r="C336" s="25"/>
      <c r="D336" s="128"/>
      <c r="E336" s="6"/>
      <c r="F336" s="101"/>
      <c r="G336" s="101"/>
      <c r="H336" s="137"/>
      <c r="I336" s="6"/>
      <c r="J336" s="100">
        <f t="shared" si="30"/>
        <v>0</v>
      </c>
      <c r="K336" s="100">
        <f t="shared" si="31"/>
        <v>0</v>
      </c>
      <c r="L336" s="88">
        <f>K336*係数!$H$30</f>
        <v>0</v>
      </c>
      <c r="M336" s="25"/>
      <c r="N336" s="6"/>
      <c r="O336" s="6"/>
      <c r="P336" s="137"/>
      <c r="Q336" s="6"/>
      <c r="R336" s="533">
        <f t="shared" si="26"/>
        <v>0</v>
      </c>
      <c r="S336" s="12">
        <f t="shared" si="27"/>
        <v>0</v>
      </c>
      <c r="T336" s="88">
        <f>S336*係数!$H$30</f>
        <v>0</v>
      </c>
      <c r="U336" s="12">
        <f t="shared" si="28"/>
        <v>0</v>
      </c>
      <c r="V336" s="545">
        <f>U336*係数!$C$30*0.0000258</f>
        <v>0</v>
      </c>
      <c r="W336" s="543">
        <f t="shared" si="29"/>
        <v>0</v>
      </c>
    </row>
    <row r="337" spans="2:23" x14ac:dyDescent="0.55000000000000004">
      <c r="B337" s="194" t="s">
        <v>806</v>
      </c>
      <c r="C337" s="25"/>
      <c r="D337" s="128"/>
      <c r="E337" s="6"/>
      <c r="F337" s="101"/>
      <c r="G337" s="101"/>
      <c r="H337" s="137"/>
      <c r="I337" s="6"/>
      <c r="J337" s="100">
        <f t="shared" si="30"/>
        <v>0</v>
      </c>
      <c r="K337" s="100">
        <f t="shared" si="31"/>
        <v>0</v>
      </c>
      <c r="L337" s="88">
        <f>K337*係数!$H$30</f>
        <v>0</v>
      </c>
      <c r="M337" s="25"/>
      <c r="N337" s="6"/>
      <c r="O337" s="6"/>
      <c r="P337" s="137"/>
      <c r="Q337" s="6"/>
      <c r="R337" s="533">
        <f t="shared" si="26"/>
        <v>0</v>
      </c>
      <c r="S337" s="12">
        <f t="shared" si="27"/>
        <v>0</v>
      </c>
      <c r="T337" s="88">
        <f>S337*係数!$H$30</f>
        <v>0</v>
      </c>
      <c r="U337" s="12">
        <f t="shared" si="28"/>
        <v>0</v>
      </c>
      <c r="V337" s="545">
        <f>U337*係数!$C$30*0.0000258</f>
        <v>0</v>
      </c>
      <c r="W337" s="543">
        <f t="shared" si="29"/>
        <v>0</v>
      </c>
    </row>
    <row r="338" spans="2:23" x14ac:dyDescent="0.55000000000000004">
      <c r="B338" s="194" t="s">
        <v>807</v>
      </c>
      <c r="C338" s="25"/>
      <c r="D338" s="128"/>
      <c r="E338" s="6"/>
      <c r="F338" s="101"/>
      <c r="G338" s="101"/>
      <c r="H338" s="137"/>
      <c r="I338" s="6"/>
      <c r="J338" s="100">
        <f t="shared" si="30"/>
        <v>0</v>
      </c>
      <c r="K338" s="100">
        <f t="shared" si="31"/>
        <v>0</v>
      </c>
      <c r="L338" s="88">
        <f>K338*係数!$H$30</f>
        <v>0</v>
      </c>
      <c r="M338" s="25"/>
      <c r="N338" s="6"/>
      <c r="O338" s="6"/>
      <c r="P338" s="137"/>
      <c r="Q338" s="6"/>
      <c r="R338" s="533">
        <f t="shared" ref="R338:R401" si="32">IF(P338="",J338,J338*Q338/100)</f>
        <v>0</v>
      </c>
      <c r="S338" s="12">
        <f t="shared" ref="S338:S401" si="33">N338*O338*R338/1000</f>
        <v>0</v>
      </c>
      <c r="T338" s="88">
        <f>S338*係数!$H$30</f>
        <v>0</v>
      </c>
      <c r="U338" s="12">
        <f t="shared" ref="U338:U401" si="34">K338-S338</f>
        <v>0</v>
      </c>
      <c r="V338" s="545">
        <f>U338*係数!$C$30*0.0000258</f>
        <v>0</v>
      </c>
      <c r="W338" s="543">
        <f t="shared" ref="W338:W401" si="35">L338-T338</f>
        <v>0</v>
      </c>
    </row>
    <row r="339" spans="2:23" x14ac:dyDescent="0.55000000000000004">
      <c r="B339" s="194" t="s">
        <v>808</v>
      </c>
      <c r="C339" s="25"/>
      <c r="D339" s="128"/>
      <c r="E339" s="6"/>
      <c r="F339" s="101"/>
      <c r="G339" s="101"/>
      <c r="H339" s="137"/>
      <c r="I339" s="6"/>
      <c r="J339" s="100">
        <f t="shared" si="30"/>
        <v>0</v>
      </c>
      <c r="K339" s="100">
        <f t="shared" si="31"/>
        <v>0</v>
      </c>
      <c r="L339" s="88">
        <f>K339*係数!$H$30</f>
        <v>0</v>
      </c>
      <c r="M339" s="25"/>
      <c r="N339" s="6"/>
      <c r="O339" s="6"/>
      <c r="P339" s="137"/>
      <c r="Q339" s="6"/>
      <c r="R339" s="533">
        <f t="shared" si="32"/>
        <v>0</v>
      </c>
      <c r="S339" s="12">
        <f t="shared" si="33"/>
        <v>0</v>
      </c>
      <c r="T339" s="88">
        <f>S339*係数!$H$30</f>
        <v>0</v>
      </c>
      <c r="U339" s="12">
        <f t="shared" si="34"/>
        <v>0</v>
      </c>
      <c r="V339" s="545">
        <f>U339*係数!$C$30*0.0000258</f>
        <v>0</v>
      </c>
      <c r="W339" s="543">
        <f t="shared" si="35"/>
        <v>0</v>
      </c>
    </row>
    <row r="340" spans="2:23" x14ac:dyDescent="0.55000000000000004">
      <c r="B340" s="194" t="s">
        <v>809</v>
      </c>
      <c r="C340" s="25"/>
      <c r="D340" s="128"/>
      <c r="E340" s="6"/>
      <c r="F340" s="101"/>
      <c r="G340" s="101"/>
      <c r="H340" s="137"/>
      <c r="I340" s="6"/>
      <c r="J340" s="100">
        <f t="shared" si="30"/>
        <v>0</v>
      </c>
      <c r="K340" s="100">
        <f t="shared" si="31"/>
        <v>0</v>
      </c>
      <c r="L340" s="88">
        <f>K340*係数!$H$30</f>
        <v>0</v>
      </c>
      <c r="M340" s="25"/>
      <c r="N340" s="6"/>
      <c r="O340" s="6"/>
      <c r="P340" s="137"/>
      <c r="Q340" s="6"/>
      <c r="R340" s="533">
        <f t="shared" si="32"/>
        <v>0</v>
      </c>
      <c r="S340" s="12">
        <f t="shared" si="33"/>
        <v>0</v>
      </c>
      <c r="T340" s="88">
        <f>S340*係数!$H$30</f>
        <v>0</v>
      </c>
      <c r="U340" s="12">
        <f t="shared" si="34"/>
        <v>0</v>
      </c>
      <c r="V340" s="545">
        <f>U340*係数!$C$30*0.0000258</f>
        <v>0</v>
      </c>
      <c r="W340" s="543">
        <f t="shared" si="35"/>
        <v>0</v>
      </c>
    </row>
    <row r="341" spans="2:23" x14ac:dyDescent="0.55000000000000004">
      <c r="B341" s="194" t="s">
        <v>810</v>
      </c>
      <c r="C341" s="25"/>
      <c r="D341" s="128"/>
      <c r="E341" s="6"/>
      <c r="F341" s="101"/>
      <c r="G341" s="101"/>
      <c r="H341" s="137"/>
      <c r="I341" s="6"/>
      <c r="J341" s="100">
        <f t="shared" si="30"/>
        <v>0</v>
      </c>
      <c r="K341" s="100">
        <f t="shared" si="31"/>
        <v>0</v>
      </c>
      <c r="L341" s="88">
        <f>K341*係数!$H$30</f>
        <v>0</v>
      </c>
      <c r="M341" s="25"/>
      <c r="N341" s="6"/>
      <c r="O341" s="6"/>
      <c r="P341" s="137"/>
      <c r="Q341" s="6"/>
      <c r="R341" s="533">
        <f t="shared" si="32"/>
        <v>0</v>
      </c>
      <c r="S341" s="12">
        <f t="shared" si="33"/>
        <v>0</v>
      </c>
      <c r="T341" s="88">
        <f>S341*係数!$H$30</f>
        <v>0</v>
      </c>
      <c r="U341" s="12">
        <f t="shared" si="34"/>
        <v>0</v>
      </c>
      <c r="V341" s="545">
        <f>U341*係数!$C$30*0.0000258</f>
        <v>0</v>
      </c>
      <c r="W341" s="543">
        <f t="shared" si="35"/>
        <v>0</v>
      </c>
    </row>
    <row r="342" spans="2:23" x14ac:dyDescent="0.55000000000000004">
      <c r="B342" s="194" t="s">
        <v>811</v>
      </c>
      <c r="C342" s="25"/>
      <c r="D342" s="128"/>
      <c r="E342" s="6"/>
      <c r="F342" s="101"/>
      <c r="G342" s="101"/>
      <c r="H342" s="137"/>
      <c r="I342" s="6"/>
      <c r="J342" s="100">
        <f t="shared" si="30"/>
        <v>0</v>
      </c>
      <c r="K342" s="100">
        <f t="shared" si="31"/>
        <v>0</v>
      </c>
      <c r="L342" s="88">
        <f>K342*係数!$H$30</f>
        <v>0</v>
      </c>
      <c r="M342" s="25"/>
      <c r="N342" s="6"/>
      <c r="O342" s="6"/>
      <c r="P342" s="137"/>
      <c r="Q342" s="6"/>
      <c r="R342" s="533">
        <f t="shared" si="32"/>
        <v>0</v>
      </c>
      <c r="S342" s="12">
        <f t="shared" si="33"/>
        <v>0</v>
      </c>
      <c r="T342" s="88">
        <f>S342*係数!$H$30</f>
        <v>0</v>
      </c>
      <c r="U342" s="12">
        <f t="shared" si="34"/>
        <v>0</v>
      </c>
      <c r="V342" s="545">
        <f>U342*係数!$C$30*0.0000258</f>
        <v>0</v>
      </c>
      <c r="W342" s="543">
        <f t="shared" si="35"/>
        <v>0</v>
      </c>
    </row>
    <row r="343" spans="2:23" x14ac:dyDescent="0.55000000000000004">
      <c r="B343" s="194" t="s">
        <v>812</v>
      </c>
      <c r="C343" s="25"/>
      <c r="D343" s="128"/>
      <c r="E343" s="6"/>
      <c r="F343" s="101"/>
      <c r="G343" s="101"/>
      <c r="H343" s="137"/>
      <c r="I343" s="6"/>
      <c r="J343" s="100">
        <f t="shared" si="30"/>
        <v>0</v>
      </c>
      <c r="K343" s="100">
        <f t="shared" si="31"/>
        <v>0</v>
      </c>
      <c r="L343" s="88">
        <f>K343*係数!$H$30</f>
        <v>0</v>
      </c>
      <c r="M343" s="25"/>
      <c r="N343" s="6"/>
      <c r="O343" s="6"/>
      <c r="P343" s="137"/>
      <c r="Q343" s="6"/>
      <c r="R343" s="533">
        <f t="shared" si="32"/>
        <v>0</v>
      </c>
      <c r="S343" s="12">
        <f t="shared" si="33"/>
        <v>0</v>
      </c>
      <c r="T343" s="88">
        <f>S343*係数!$H$30</f>
        <v>0</v>
      </c>
      <c r="U343" s="12">
        <f t="shared" si="34"/>
        <v>0</v>
      </c>
      <c r="V343" s="545">
        <f>U343*係数!$C$30*0.0000258</f>
        <v>0</v>
      </c>
      <c r="W343" s="543">
        <f t="shared" si="35"/>
        <v>0</v>
      </c>
    </row>
    <row r="344" spans="2:23" x14ac:dyDescent="0.55000000000000004">
      <c r="B344" s="194" t="s">
        <v>813</v>
      </c>
      <c r="C344" s="25"/>
      <c r="D344" s="128"/>
      <c r="E344" s="6"/>
      <c r="F344" s="101"/>
      <c r="G344" s="101"/>
      <c r="H344" s="137"/>
      <c r="I344" s="6"/>
      <c r="J344" s="100">
        <f t="shared" si="30"/>
        <v>0</v>
      </c>
      <c r="K344" s="100">
        <f t="shared" si="31"/>
        <v>0</v>
      </c>
      <c r="L344" s="88">
        <f>K344*係数!$H$30</f>
        <v>0</v>
      </c>
      <c r="M344" s="25"/>
      <c r="N344" s="6"/>
      <c r="O344" s="6"/>
      <c r="P344" s="137"/>
      <c r="Q344" s="6"/>
      <c r="R344" s="533">
        <f t="shared" si="32"/>
        <v>0</v>
      </c>
      <c r="S344" s="12">
        <f t="shared" si="33"/>
        <v>0</v>
      </c>
      <c r="T344" s="88">
        <f>S344*係数!$H$30</f>
        <v>0</v>
      </c>
      <c r="U344" s="12">
        <f t="shared" si="34"/>
        <v>0</v>
      </c>
      <c r="V344" s="545">
        <f>U344*係数!$C$30*0.0000258</f>
        <v>0</v>
      </c>
      <c r="W344" s="543">
        <f t="shared" si="35"/>
        <v>0</v>
      </c>
    </row>
    <row r="345" spans="2:23" x14ac:dyDescent="0.55000000000000004">
      <c r="B345" s="194" t="s">
        <v>814</v>
      </c>
      <c r="C345" s="25"/>
      <c r="D345" s="128"/>
      <c r="E345" s="6"/>
      <c r="F345" s="101"/>
      <c r="G345" s="101"/>
      <c r="H345" s="137"/>
      <c r="I345" s="6"/>
      <c r="J345" s="100">
        <f t="shared" si="30"/>
        <v>0</v>
      </c>
      <c r="K345" s="100">
        <f t="shared" si="31"/>
        <v>0</v>
      </c>
      <c r="L345" s="88">
        <f>K345*係数!$H$30</f>
        <v>0</v>
      </c>
      <c r="M345" s="25"/>
      <c r="N345" s="6"/>
      <c r="O345" s="6"/>
      <c r="P345" s="137"/>
      <c r="Q345" s="6"/>
      <c r="R345" s="533">
        <f t="shared" si="32"/>
        <v>0</v>
      </c>
      <c r="S345" s="12">
        <f t="shared" si="33"/>
        <v>0</v>
      </c>
      <c r="T345" s="88">
        <f>S345*係数!$H$30</f>
        <v>0</v>
      </c>
      <c r="U345" s="12">
        <f t="shared" si="34"/>
        <v>0</v>
      </c>
      <c r="V345" s="545">
        <f>U345*係数!$C$30*0.0000258</f>
        <v>0</v>
      </c>
      <c r="W345" s="543">
        <f t="shared" si="35"/>
        <v>0</v>
      </c>
    </row>
    <row r="346" spans="2:23" x14ac:dyDescent="0.55000000000000004">
      <c r="B346" s="194" t="s">
        <v>815</v>
      </c>
      <c r="C346" s="25"/>
      <c r="D346" s="128"/>
      <c r="E346" s="6"/>
      <c r="F346" s="101"/>
      <c r="G346" s="101"/>
      <c r="H346" s="137"/>
      <c r="I346" s="6"/>
      <c r="J346" s="100">
        <f t="shared" si="30"/>
        <v>0</v>
      </c>
      <c r="K346" s="100">
        <f t="shared" si="31"/>
        <v>0</v>
      </c>
      <c r="L346" s="88">
        <f>K346*係数!$H$30</f>
        <v>0</v>
      </c>
      <c r="M346" s="25"/>
      <c r="N346" s="6"/>
      <c r="O346" s="6"/>
      <c r="P346" s="137"/>
      <c r="Q346" s="6"/>
      <c r="R346" s="533">
        <f t="shared" si="32"/>
        <v>0</v>
      </c>
      <c r="S346" s="12">
        <f t="shared" si="33"/>
        <v>0</v>
      </c>
      <c r="T346" s="88">
        <f>S346*係数!$H$30</f>
        <v>0</v>
      </c>
      <c r="U346" s="12">
        <f t="shared" si="34"/>
        <v>0</v>
      </c>
      <c r="V346" s="545">
        <f>U346*係数!$C$30*0.0000258</f>
        <v>0</v>
      </c>
      <c r="W346" s="543">
        <f t="shared" si="35"/>
        <v>0</v>
      </c>
    </row>
    <row r="347" spans="2:23" x14ac:dyDescent="0.55000000000000004">
      <c r="B347" s="194" t="s">
        <v>816</v>
      </c>
      <c r="C347" s="25"/>
      <c r="D347" s="128"/>
      <c r="E347" s="6"/>
      <c r="F347" s="101"/>
      <c r="G347" s="101"/>
      <c r="H347" s="137"/>
      <c r="I347" s="6"/>
      <c r="J347" s="100">
        <f t="shared" si="30"/>
        <v>0</v>
      </c>
      <c r="K347" s="100">
        <f t="shared" si="31"/>
        <v>0</v>
      </c>
      <c r="L347" s="88">
        <f>K347*係数!$H$30</f>
        <v>0</v>
      </c>
      <c r="M347" s="25"/>
      <c r="N347" s="6"/>
      <c r="O347" s="6"/>
      <c r="P347" s="137"/>
      <c r="Q347" s="6"/>
      <c r="R347" s="533">
        <f t="shared" si="32"/>
        <v>0</v>
      </c>
      <c r="S347" s="12">
        <f t="shared" si="33"/>
        <v>0</v>
      </c>
      <c r="T347" s="88">
        <f>S347*係数!$H$30</f>
        <v>0</v>
      </c>
      <c r="U347" s="12">
        <f t="shared" si="34"/>
        <v>0</v>
      </c>
      <c r="V347" s="545">
        <f>U347*係数!$C$30*0.0000258</f>
        <v>0</v>
      </c>
      <c r="W347" s="543">
        <f t="shared" si="35"/>
        <v>0</v>
      </c>
    </row>
    <row r="348" spans="2:23" x14ac:dyDescent="0.55000000000000004">
      <c r="B348" s="194" t="s">
        <v>817</v>
      </c>
      <c r="C348" s="25"/>
      <c r="D348" s="128"/>
      <c r="E348" s="6"/>
      <c r="F348" s="101"/>
      <c r="G348" s="101"/>
      <c r="H348" s="137"/>
      <c r="I348" s="6"/>
      <c r="J348" s="100">
        <f t="shared" si="30"/>
        <v>0</v>
      </c>
      <c r="K348" s="100">
        <f t="shared" si="31"/>
        <v>0</v>
      </c>
      <c r="L348" s="88">
        <f>K348*係数!$H$30</f>
        <v>0</v>
      </c>
      <c r="M348" s="25"/>
      <c r="N348" s="6"/>
      <c r="O348" s="6"/>
      <c r="P348" s="137"/>
      <c r="Q348" s="6"/>
      <c r="R348" s="533">
        <f t="shared" si="32"/>
        <v>0</v>
      </c>
      <c r="S348" s="12">
        <f t="shared" si="33"/>
        <v>0</v>
      </c>
      <c r="T348" s="88">
        <f>S348*係数!$H$30</f>
        <v>0</v>
      </c>
      <c r="U348" s="12">
        <f t="shared" si="34"/>
        <v>0</v>
      </c>
      <c r="V348" s="545">
        <f>U348*係数!$C$30*0.0000258</f>
        <v>0</v>
      </c>
      <c r="W348" s="543">
        <f t="shared" si="35"/>
        <v>0</v>
      </c>
    </row>
    <row r="349" spans="2:23" x14ac:dyDescent="0.55000000000000004">
      <c r="B349" s="194" t="s">
        <v>818</v>
      </c>
      <c r="C349" s="25"/>
      <c r="D349" s="128"/>
      <c r="E349" s="6"/>
      <c r="F349" s="101"/>
      <c r="G349" s="101"/>
      <c r="H349" s="137"/>
      <c r="I349" s="6"/>
      <c r="J349" s="100">
        <f t="shared" si="30"/>
        <v>0</v>
      </c>
      <c r="K349" s="100">
        <f t="shared" si="31"/>
        <v>0</v>
      </c>
      <c r="L349" s="88">
        <f>K349*係数!$H$30</f>
        <v>0</v>
      </c>
      <c r="M349" s="25"/>
      <c r="N349" s="6"/>
      <c r="O349" s="6"/>
      <c r="P349" s="137"/>
      <c r="Q349" s="6"/>
      <c r="R349" s="533">
        <f t="shared" si="32"/>
        <v>0</v>
      </c>
      <c r="S349" s="12">
        <f t="shared" si="33"/>
        <v>0</v>
      </c>
      <c r="T349" s="88">
        <f>S349*係数!$H$30</f>
        <v>0</v>
      </c>
      <c r="U349" s="12">
        <f t="shared" si="34"/>
        <v>0</v>
      </c>
      <c r="V349" s="545">
        <f>U349*係数!$C$30*0.0000258</f>
        <v>0</v>
      </c>
      <c r="W349" s="543">
        <f t="shared" si="35"/>
        <v>0</v>
      </c>
    </row>
    <row r="350" spans="2:23" x14ac:dyDescent="0.55000000000000004">
      <c r="B350" s="194" t="s">
        <v>819</v>
      </c>
      <c r="C350" s="25"/>
      <c r="D350" s="128"/>
      <c r="E350" s="6"/>
      <c r="F350" s="101"/>
      <c r="G350" s="101"/>
      <c r="H350" s="137"/>
      <c r="I350" s="6"/>
      <c r="J350" s="100">
        <f t="shared" si="30"/>
        <v>0</v>
      </c>
      <c r="K350" s="100">
        <f t="shared" si="31"/>
        <v>0</v>
      </c>
      <c r="L350" s="88">
        <f>K350*係数!$H$30</f>
        <v>0</v>
      </c>
      <c r="M350" s="25"/>
      <c r="N350" s="6"/>
      <c r="O350" s="6"/>
      <c r="P350" s="137"/>
      <c r="Q350" s="6"/>
      <c r="R350" s="533">
        <f t="shared" si="32"/>
        <v>0</v>
      </c>
      <c r="S350" s="12">
        <f t="shared" si="33"/>
        <v>0</v>
      </c>
      <c r="T350" s="88">
        <f>S350*係数!$H$30</f>
        <v>0</v>
      </c>
      <c r="U350" s="12">
        <f t="shared" si="34"/>
        <v>0</v>
      </c>
      <c r="V350" s="545">
        <f>U350*係数!$C$30*0.0000258</f>
        <v>0</v>
      </c>
      <c r="W350" s="543">
        <f t="shared" si="35"/>
        <v>0</v>
      </c>
    </row>
    <row r="351" spans="2:23" x14ac:dyDescent="0.55000000000000004">
      <c r="B351" s="194" t="s">
        <v>820</v>
      </c>
      <c r="C351" s="25"/>
      <c r="D351" s="128"/>
      <c r="E351" s="6"/>
      <c r="F351" s="101"/>
      <c r="G351" s="101"/>
      <c r="H351" s="137"/>
      <c r="I351" s="6"/>
      <c r="J351" s="100">
        <f t="shared" si="30"/>
        <v>0</v>
      </c>
      <c r="K351" s="100">
        <f t="shared" si="31"/>
        <v>0</v>
      </c>
      <c r="L351" s="88">
        <f>K351*係数!$H$30</f>
        <v>0</v>
      </c>
      <c r="M351" s="25"/>
      <c r="N351" s="6"/>
      <c r="O351" s="6"/>
      <c r="P351" s="137"/>
      <c r="Q351" s="6"/>
      <c r="R351" s="533">
        <f t="shared" si="32"/>
        <v>0</v>
      </c>
      <c r="S351" s="12">
        <f t="shared" si="33"/>
        <v>0</v>
      </c>
      <c r="T351" s="88">
        <f>S351*係数!$H$30</f>
        <v>0</v>
      </c>
      <c r="U351" s="12">
        <f t="shared" si="34"/>
        <v>0</v>
      </c>
      <c r="V351" s="545">
        <f>U351*係数!$C$30*0.0000258</f>
        <v>0</v>
      </c>
      <c r="W351" s="543">
        <f t="shared" si="35"/>
        <v>0</v>
      </c>
    </row>
    <row r="352" spans="2:23" x14ac:dyDescent="0.55000000000000004">
      <c r="B352" s="194" t="s">
        <v>821</v>
      </c>
      <c r="C352" s="25"/>
      <c r="D352" s="128"/>
      <c r="E352" s="6"/>
      <c r="F352" s="101"/>
      <c r="G352" s="101"/>
      <c r="H352" s="137"/>
      <c r="I352" s="6"/>
      <c r="J352" s="100">
        <f t="shared" si="30"/>
        <v>0</v>
      </c>
      <c r="K352" s="100">
        <f t="shared" si="31"/>
        <v>0</v>
      </c>
      <c r="L352" s="88">
        <f>K352*係数!$H$30</f>
        <v>0</v>
      </c>
      <c r="M352" s="25"/>
      <c r="N352" s="6"/>
      <c r="O352" s="6"/>
      <c r="P352" s="137"/>
      <c r="Q352" s="6"/>
      <c r="R352" s="533">
        <f t="shared" si="32"/>
        <v>0</v>
      </c>
      <c r="S352" s="12">
        <f t="shared" si="33"/>
        <v>0</v>
      </c>
      <c r="T352" s="88">
        <f>S352*係数!$H$30</f>
        <v>0</v>
      </c>
      <c r="U352" s="12">
        <f t="shared" si="34"/>
        <v>0</v>
      </c>
      <c r="V352" s="545">
        <f>U352*係数!$C$30*0.0000258</f>
        <v>0</v>
      </c>
      <c r="W352" s="543">
        <f t="shared" si="35"/>
        <v>0</v>
      </c>
    </row>
    <row r="353" spans="2:23" x14ac:dyDescent="0.55000000000000004">
      <c r="B353" s="194" t="s">
        <v>822</v>
      </c>
      <c r="C353" s="25"/>
      <c r="D353" s="128"/>
      <c r="E353" s="6"/>
      <c r="F353" s="101"/>
      <c r="G353" s="101"/>
      <c r="H353" s="137"/>
      <c r="I353" s="6"/>
      <c r="J353" s="100">
        <f t="shared" si="30"/>
        <v>0</v>
      </c>
      <c r="K353" s="100">
        <f t="shared" si="31"/>
        <v>0</v>
      </c>
      <c r="L353" s="88">
        <f>K353*係数!$H$30</f>
        <v>0</v>
      </c>
      <c r="M353" s="25"/>
      <c r="N353" s="6"/>
      <c r="O353" s="6"/>
      <c r="P353" s="137"/>
      <c r="Q353" s="6"/>
      <c r="R353" s="533">
        <f t="shared" si="32"/>
        <v>0</v>
      </c>
      <c r="S353" s="12">
        <f t="shared" si="33"/>
        <v>0</v>
      </c>
      <c r="T353" s="88">
        <f>S353*係数!$H$30</f>
        <v>0</v>
      </c>
      <c r="U353" s="12">
        <f t="shared" si="34"/>
        <v>0</v>
      </c>
      <c r="V353" s="545">
        <f>U353*係数!$C$30*0.0000258</f>
        <v>0</v>
      </c>
      <c r="W353" s="543">
        <f t="shared" si="35"/>
        <v>0</v>
      </c>
    </row>
    <row r="354" spans="2:23" x14ac:dyDescent="0.55000000000000004">
      <c r="B354" s="194" t="s">
        <v>823</v>
      </c>
      <c r="C354" s="25"/>
      <c r="D354" s="128"/>
      <c r="E354" s="6"/>
      <c r="F354" s="101"/>
      <c r="G354" s="101"/>
      <c r="H354" s="137"/>
      <c r="I354" s="6"/>
      <c r="J354" s="100">
        <f t="shared" si="30"/>
        <v>0</v>
      </c>
      <c r="K354" s="100">
        <f t="shared" si="31"/>
        <v>0</v>
      </c>
      <c r="L354" s="88">
        <f>K354*係数!$H$30</f>
        <v>0</v>
      </c>
      <c r="M354" s="25"/>
      <c r="N354" s="6"/>
      <c r="O354" s="6"/>
      <c r="P354" s="137"/>
      <c r="Q354" s="6"/>
      <c r="R354" s="533">
        <f t="shared" si="32"/>
        <v>0</v>
      </c>
      <c r="S354" s="12">
        <f t="shared" si="33"/>
        <v>0</v>
      </c>
      <c r="T354" s="88">
        <f>S354*係数!$H$30</f>
        <v>0</v>
      </c>
      <c r="U354" s="12">
        <f t="shared" si="34"/>
        <v>0</v>
      </c>
      <c r="V354" s="545">
        <f>U354*係数!$C$30*0.0000258</f>
        <v>0</v>
      </c>
      <c r="W354" s="543">
        <f t="shared" si="35"/>
        <v>0</v>
      </c>
    </row>
    <row r="355" spans="2:23" x14ac:dyDescent="0.55000000000000004">
      <c r="B355" s="194" t="s">
        <v>824</v>
      </c>
      <c r="C355" s="25"/>
      <c r="D355" s="128"/>
      <c r="E355" s="6"/>
      <c r="F355" s="101"/>
      <c r="G355" s="101"/>
      <c r="H355" s="137"/>
      <c r="I355" s="6"/>
      <c r="J355" s="100">
        <f t="shared" si="30"/>
        <v>0</v>
      </c>
      <c r="K355" s="100">
        <f t="shared" si="31"/>
        <v>0</v>
      </c>
      <c r="L355" s="88">
        <f>K355*係数!$H$30</f>
        <v>0</v>
      </c>
      <c r="M355" s="25"/>
      <c r="N355" s="6"/>
      <c r="O355" s="6"/>
      <c r="P355" s="137"/>
      <c r="Q355" s="6"/>
      <c r="R355" s="533">
        <f t="shared" si="32"/>
        <v>0</v>
      </c>
      <c r="S355" s="12">
        <f t="shared" si="33"/>
        <v>0</v>
      </c>
      <c r="T355" s="88">
        <f>S355*係数!$H$30</f>
        <v>0</v>
      </c>
      <c r="U355" s="12">
        <f t="shared" si="34"/>
        <v>0</v>
      </c>
      <c r="V355" s="545">
        <f>U355*係数!$C$30*0.0000258</f>
        <v>0</v>
      </c>
      <c r="W355" s="543">
        <f t="shared" si="35"/>
        <v>0</v>
      </c>
    </row>
    <row r="356" spans="2:23" x14ac:dyDescent="0.55000000000000004">
      <c r="B356" s="194" t="s">
        <v>825</v>
      </c>
      <c r="C356" s="25"/>
      <c r="D356" s="128"/>
      <c r="E356" s="6"/>
      <c r="F356" s="101"/>
      <c r="G356" s="101"/>
      <c r="H356" s="137"/>
      <c r="I356" s="6"/>
      <c r="J356" s="100">
        <f t="shared" si="30"/>
        <v>0</v>
      </c>
      <c r="K356" s="100">
        <f t="shared" si="31"/>
        <v>0</v>
      </c>
      <c r="L356" s="88">
        <f>K356*係数!$H$30</f>
        <v>0</v>
      </c>
      <c r="M356" s="25"/>
      <c r="N356" s="6"/>
      <c r="O356" s="6"/>
      <c r="P356" s="137"/>
      <c r="Q356" s="6"/>
      <c r="R356" s="533">
        <f t="shared" si="32"/>
        <v>0</v>
      </c>
      <c r="S356" s="12">
        <f t="shared" si="33"/>
        <v>0</v>
      </c>
      <c r="T356" s="88">
        <f>S356*係数!$H$30</f>
        <v>0</v>
      </c>
      <c r="U356" s="12">
        <f t="shared" si="34"/>
        <v>0</v>
      </c>
      <c r="V356" s="545">
        <f>U356*係数!$C$30*0.0000258</f>
        <v>0</v>
      </c>
      <c r="W356" s="543">
        <f t="shared" si="35"/>
        <v>0</v>
      </c>
    </row>
    <row r="357" spans="2:23" x14ac:dyDescent="0.55000000000000004">
      <c r="B357" s="194" t="s">
        <v>826</v>
      </c>
      <c r="C357" s="25"/>
      <c r="D357" s="128"/>
      <c r="E357" s="6"/>
      <c r="F357" s="101"/>
      <c r="G357" s="101"/>
      <c r="H357" s="137"/>
      <c r="I357" s="6"/>
      <c r="J357" s="100">
        <f t="shared" si="30"/>
        <v>0</v>
      </c>
      <c r="K357" s="100">
        <f t="shared" si="31"/>
        <v>0</v>
      </c>
      <c r="L357" s="88">
        <f>K357*係数!$H$30</f>
        <v>0</v>
      </c>
      <c r="M357" s="25"/>
      <c r="N357" s="6"/>
      <c r="O357" s="6"/>
      <c r="P357" s="137"/>
      <c r="Q357" s="6"/>
      <c r="R357" s="533">
        <f t="shared" si="32"/>
        <v>0</v>
      </c>
      <c r="S357" s="12">
        <f t="shared" si="33"/>
        <v>0</v>
      </c>
      <c r="T357" s="88">
        <f>S357*係数!$H$30</f>
        <v>0</v>
      </c>
      <c r="U357" s="12">
        <f t="shared" si="34"/>
        <v>0</v>
      </c>
      <c r="V357" s="545">
        <f>U357*係数!$C$30*0.0000258</f>
        <v>0</v>
      </c>
      <c r="W357" s="543">
        <f t="shared" si="35"/>
        <v>0</v>
      </c>
    </row>
    <row r="358" spans="2:23" x14ac:dyDescent="0.55000000000000004">
      <c r="B358" s="194" t="s">
        <v>827</v>
      </c>
      <c r="C358" s="25"/>
      <c r="D358" s="128"/>
      <c r="E358" s="6"/>
      <c r="F358" s="101"/>
      <c r="G358" s="101"/>
      <c r="H358" s="137"/>
      <c r="I358" s="6"/>
      <c r="J358" s="100">
        <f t="shared" si="30"/>
        <v>0</v>
      </c>
      <c r="K358" s="100">
        <f t="shared" si="31"/>
        <v>0</v>
      </c>
      <c r="L358" s="88">
        <f>K358*係数!$H$30</f>
        <v>0</v>
      </c>
      <c r="M358" s="25"/>
      <c r="N358" s="6"/>
      <c r="O358" s="6"/>
      <c r="P358" s="137"/>
      <c r="Q358" s="6"/>
      <c r="R358" s="533">
        <f t="shared" si="32"/>
        <v>0</v>
      </c>
      <c r="S358" s="12">
        <f t="shared" si="33"/>
        <v>0</v>
      </c>
      <c r="T358" s="88">
        <f>S358*係数!$H$30</f>
        <v>0</v>
      </c>
      <c r="U358" s="12">
        <f t="shared" si="34"/>
        <v>0</v>
      </c>
      <c r="V358" s="545">
        <f>U358*係数!$C$30*0.0000258</f>
        <v>0</v>
      </c>
      <c r="W358" s="543">
        <f t="shared" si="35"/>
        <v>0</v>
      </c>
    </row>
    <row r="359" spans="2:23" x14ac:dyDescent="0.55000000000000004">
      <c r="B359" s="194" t="s">
        <v>828</v>
      </c>
      <c r="C359" s="25"/>
      <c r="D359" s="128"/>
      <c r="E359" s="6"/>
      <c r="F359" s="101"/>
      <c r="G359" s="101"/>
      <c r="H359" s="137"/>
      <c r="I359" s="6"/>
      <c r="J359" s="100">
        <f t="shared" si="30"/>
        <v>0</v>
      </c>
      <c r="K359" s="100">
        <f t="shared" si="31"/>
        <v>0</v>
      </c>
      <c r="L359" s="88">
        <f>K359*係数!$H$30</f>
        <v>0</v>
      </c>
      <c r="M359" s="25"/>
      <c r="N359" s="6"/>
      <c r="O359" s="6"/>
      <c r="P359" s="137"/>
      <c r="Q359" s="6"/>
      <c r="R359" s="533">
        <f t="shared" si="32"/>
        <v>0</v>
      </c>
      <c r="S359" s="12">
        <f t="shared" si="33"/>
        <v>0</v>
      </c>
      <c r="T359" s="88">
        <f>S359*係数!$H$30</f>
        <v>0</v>
      </c>
      <c r="U359" s="12">
        <f t="shared" si="34"/>
        <v>0</v>
      </c>
      <c r="V359" s="545">
        <f>U359*係数!$C$30*0.0000258</f>
        <v>0</v>
      </c>
      <c r="W359" s="543">
        <f t="shared" si="35"/>
        <v>0</v>
      </c>
    </row>
    <row r="360" spans="2:23" x14ac:dyDescent="0.55000000000000004">
      <c r="B360" s="194" t="s">
        <v>829</v>
      </c>
      <c r="C360" s="25"/>
      <c r="D360" s="128"/>
      <c r="E360" s="6"/>
      <c r="F360" s="101"/>
      <c r="G360" s="101"/>
      <c r="H360" s="137"/>
      <c r="I360" s="6"/>
      <c r="J360" s="100">
        <f t="shared" si="30"/>
        <v>0</v>
      </c>
      <c r="K360" s="100">
        <f t="shared" si="31"/>
        <v>0</v>
      </c>
      <c r="L360" s="88">
        <f>K360*係数!$H$30</f>
        <v>0</v>
      </c>
      <c r="M360" s="25"/>
      <c r="N360" s="6"/>
      <c r="O360" s="6"/>
      <c r="P360" s="137"/>
      <c r="Q360" s="6"/>
      <c r="R360" s="533">
        <f t="shared" si="32"/>
        <v>0</v>
      </c>
      <c r="S360" s="12">
        <f t="shared" si="33"/>
        <v>0</v>
      </c>
      <c r="T360" s="88">
        <f>S360*係数!$H$30</f>
        <v>0</v>
      </c>
      <c r="U360" s="12">
        <f t="shared" si="34"/>
        <v>0</v>
      </c>
      <c r="V360" s="545">
        <f>U360*係数!$C$30*0.0000258</f>
        <v>0</v>
      </c>
      <c r="W360" s="543">
        <f t="shared" si="35"/>
        <v>0</v>
      </c>
    </row>
    <row r="361" spans="2:23" x14ac:dyDescent="0.55000000000000004">
      <c r="B361" s="194" t="s">
        <v>830</v>
      </c>
      <c r="C361" s="25"/>
      <c r="D361" s="128"/>
      <c r="E361" s="6"/>
      <c r="F361" s="101"/>
      <c r="G361" s="101"/>
      <c r="H361" s="137"/>
      <c r="I361" s="6"/>
      <c r="J361" s="100">
        <f t="shared" si="30"/>
        <v>0</v>
      </c>
      <c r="K361" s="100">
        <f t="shared" si="31"/>
        <v>0</v>
      </c>
      <c r="L361" s="88">
        <f>K361*係数!$H$30</f>
        <v>0</v>
      </c>
      <c r="M361" s="25"/>
      <c r="N361" s="6"/>
      <c r="O361" s="6"/>
      <c r="P361" s="137"/>
      <c r="Q361" s="6"/>
      <c r="R361" s="533">
        <f t="shared" si="32"/>
        <v>0</v>
      </c>
      <c r="S361" s="12">
        <f t="shared" si="33"/>
        <v>0</v>
      </c>
      <c r="T361" s="88">
        <f>S361*係数!$H$30</f>
        <v>0</v>
      </c>
      <c r="U361" s="12">
        <f t="shared" si="34"/>
        <v>0</v>
      </c>
      <c r="V361" s="545">
        <f>U361*係数!$C$30*0.0000258</f>
        <v>0</v>
      </c>
      <c r="W361" s="543">
        <f t="shared" si="35"/>
        <v>0</v>
      </c>
    </row>
    <row r="362" spans="2:23" x14ac:dyDescent="0.55000000000000004">
      <c r="B362" s="194" t="s">
        <v>831</v>
      </c>
      <c r="C362" s="25"/>
      <c r="D362" s="128"/>
      <c r="E362" s="6"/>
      <c r="F362" s="101"/>
      <c r="G362" s="101"/>
      <c r="H362" s="137"/>
      <c r="I362" s="6"/>
      <c r="J362" s="100">
        <f t="shared" si="30"/>
        <v>0</v>
      </c>
      <c r="K362" s="100">
        <f t="shared" si="31"/>
        <v>0</v>
      </c>
      <c r="L362" s="88">
        <f>K362*係数!$H$30</f>
        <v>0</v>
      </c>
      <c r="M362" s="25"/>
      <c r="N362" s="6"/>
      <c r="O362" s="6"/>
      <c r="P362" s="137"/>
      <c r="Q362" s="6"/>
      <c r="R362" s="533">
        <f t="shared" si="32"/>
        <v>0</v>
      </c>
      <c r="S362" s="12">
        <f t="shared" si="33"/>
        <v>0</v>
      </c>
      <c r="T362" s="88">
        <f>S362*係数!$H$30</f>
        <v>0</v>
      </c>
      <c r="U362" s="12">
        <f t="shared" si="34"/>
        <v>0</v>
      </c>
      <c r="V362" s="545">
        <f>U362*係数!$C$30*0.0000258</f>
        <v>0</v>
      </c>
      <c r="W362" s="543">
        <f t="shared" si="35"/>
        <v>0</v>
      </c>
    </row>
    <row r="363" spans="2:23" x14ac:dyDescent="0.55000000000000004">
      <c r="B363" s="194" t="s">
        <v>832</v>
      </c>
      <c r="C363" s="25"/>
      <c r="D363" s="128"/>
      <c r="E363" s="6"/>
      <c r="F363" s="101"/>
      <c r="G363" s="101"/>
      <c r="H363" s="137"/>
      <c r="I363" s="6"/>
      <c r="J363" s="100">
        <f t="shared" si="30"/>
        <v>0</v>
      </c>
      <c r="K363" s="100">
        <f t="shared" si="31"/>
        <v>0</v>
      </c>
      <c r="L363" s="88">
        <f>K363*係数!$H$30</f>
        <v>0</v>
      </c>
      <c r="M363" s="25"/>
      <c r="N363" s="6"/>
      <c r="O363" s="6"/>
      <c r="P363" s="137"/>
      <c r="Q363" s="6"/>
      <c r="R363" s="533">
        <f t="shared" si="32"/>
        <v>0</v>
      </c>
      <c r="S363" s="12">
        <f t="shared" si="33"/>
        <v>0</v>
      </c>
      <c r="T363" s="88">
        <f>S363*係数!$H$30</f>
        <v>0</v>
      </c>
      <c r="U363" s="12">
        <f t="shared" si="34"/>
        <v>0</v>
      </c>
      <c r="V363" s="545">
        <f>U363*係数!$C$30*0.0000258</f>
        <v>0</v>
      </c>
      <c r="W363" s="543">
        <f t="shared" si="35"/>
        <v>0</v>
      </c>
    </row>
    <row r="364" spans="2:23" x14ac:dyDescent="0.55000000000000004">
      <c r="B364" s="194" t="s">
        <v>833</v>
      </c>
      <c r="C364" s="25"/>
      <c r="D364" s="128"/>
      <c r="E364" s="6"/>
      <c r="F364" s="101"/>
      <c r="G364" s="101"/>
      <c r="H364" s="137"/>
      <c r="I364" s="6"/>
      <c r="J364" s="100">
        <f t="shared" si="30"/>
        <v>0</v>
      </c>
      <c r="K364" s="100">
        <f t="shared" si="31"/>
        <v>0</v>
      </c>
      <c r="L364" s="88">
        <f>K364*係数!$H$30</f>
        <v>0</v>
      </c>
      <c r="M364" s="25"/>
      <c r="N364" s="6"/>
      <c r="O364" s="6"/>
      <c r="P364" s="137"/>
      <c r="Q364" s="6"/>
      <c r="R364" s="533">
        <f t="shared" si="32"/>
        <v>0</v>
      </c>
      <c r="S364" s="12">
        <f t="shared" si="33"/>
        <v>0</v>
      </c>
      <c r="T364" s="88">
        <f>S364*係数!$H$30</f>
        <v>0</v>
      </c>
      <c r="U364" s="12">
        <f t="shared" si="34"/>
        <v>0</v>
      </c>
      <c r="V364" s="545">
        <f>U364*係数!$C$30*0.0000258</f>
        <v>0</v>
      </c>
      <c r="W364" s="543">
        <f t="shared" si="35"/>
        <v>0</v>
      </c>
    </row>
    <row r="365" spans="2:23" x14ac:dyDescent="0.55000000000000004">
      <c r="B365" s="194" t="s">
        <v>834</v>
      </c>
      <c r="C365" s="25"/>
      <c r="D365" s="128"/>
      <c r="E365" s="6"/>
      <c r="F365" s="101"/>
      <c r="G365" s="101"/>
      <c r="H365" s="137"/>
      <c r="I365" s="6"/>
      <c r="J365" s="100">
        <f t="shared" si="30"/>
        <v>0</v>
      </c>
      <c r="K365" s="100">
        <f t="shared" si="31"/>
        <v>0</v>
      </c>
      <c r="L365" s="88">
        <f>K365*係数!$H$30</f>
        <v>0</v>
      </c>
      <c r="M365" s="25"/>
      <c r="N365" s="6"/>
      <c r="O365" s="6"/>
      <c r="P365" s="137"/>
      <c r="Q365" s="6"/>
      <c r="R365" s="533">
        <f t="shared" si="32"/>
        <v>0</v>
      </c>
      <c r="S365" s="12">
        <f t="shared" si="33"/>
        <v>0</v>
      </c>
      <c r="T365" s="88">
        <f>S365*係数!$H$30</f>
        <v>0</v>
      </c>
      <c r="U365" s="12">
        <f t="shared" si="34"/>
        <v>0</v>
      </c>
      <c r="V365" s="545">
        <f>U365*係数!$C$30*0.0000258</f>
        <v>0</v>
      </c>
      <c r="W365" s="543">
        <f t="shared" si="35"/>
        <v>0</v>
      </c>
    </row>
    <row r="366" spans="2:23" x14ac:dyDescent="0.55000000000000004">
      <c r="B366" s="194" t="s">
        <v>835</v>
      </c>
      <c r="C366" s="25"/>
      <c r="D366" s="128"/>
      <c r="E366" s="6"/>
      <c r="F366" s="101"/>
      <c r="G366" s="101"/>
      <c r="H366" s="137"/>
      <c r="I366" s="6"/>
      <c r="J366" s="100">
        <f t="shared" si="30"/>
        <v>0</v>
      </c>
      <c r="K366" s="100">
        <f t="shared" si="31"/>
        <v>0</v>
      </c>
      <c r="L366" s="88">
        <f>K366*係数!$H$30</f>
        <v>0</v>
      </c>
      <c r="M366" s="25"/>
      <c r="N366" s="6"/>
      <c r="O366" s="6"/>
      <c r="P366" s="137"/>
      <c r="Q366" s="6"/>
      <c r="R366" s="533">
        <f t="shared" si="32"/>
        <v>0</v>
      </c>
      <c r="S366" s="12">
        <f t="shared" si="33"/>
        <v>0</v>
      </c>
      <c r="T366" s="88">
        <f>S366*係数!$H$30</f>
        <v>0</v>
      </c>
      <c r="U366" s="12">
        <f t="shared" si="34"/>
        <v>0</v>
      </c>
      <c r="V366" s="545">
        <f>U366*係数!$C$30*0.0000258</f>
        <v>0</v>
      </c>
      <c r="W366" s="543">
        <f t="shared" si="35"/>
        <v>0</v>
      </c>
    </row>
    <row r="367" spans="2:23" x14ac:dyDescent="0.55000000000000004">
      <c r="B367" s="194" t="s">
        <v>836</v>
      </c>
      <c r="C367" s="25"/>
      <c r="D367" s="128"/>
      <c r="E367" s="6"/>
      <c r="F367" s="101"/>
      <c r="G367" s="101"/>
      <c r="H367" s="137"/>
      <c r="I367" s="6"/>
      <c r="J367" s="100">
        <f t="shared" si="30"/>
        <v>0</v>
      </c>
      <c r="K367" s="100">
        <f t="shared" si="31"/>
        <v>0</v>
      </c>
      <c r="L367" s="88">
        <f>K367*係数!$H$30</f>
        <v>0</v>
      </c>
      <c r="M367" s="25"/>
      <c r="N367" s="6"/>
      <c r="O367" s="6"/>
      <c r="P367" s="137"/>
      <c r="Q367" s="6"/>
      <c r="R367" s="533">
        <f t="shared" si="32"/>
        <v>0</v>
      </c>
      <c r="S367" s="12">
        <f t="shared" si="33"/>
        <v>0</v>
      </c>
      <c r="T367" s="88">
        <f>S367*係数!$H$30</f>
        <v>0</v>
      </c>
      <c r="U367" s="12">
        <f t="shared" si="34"/>
        <v>0</v>
      </c>
      <c r="V367" s="545">
        <f>U367*係数!$C$30*0.0000258</f>
        <v>0</v>
      </c>
      <c r="W367" s="543">
        <f t="shared" si="35"/>
        <v>0</v>
      </c>
    </row>
    <row r="368" spans="2:23" x14ac:dyDescent="0.55000000000000004">
      <c r="B368" s="194" t="s">
        <v>837</v>
      </c>
      <c r="C368" s="25"/>
      <c r="D368" s="128"/>
      <c r="E368" s="6"/>
      <c r="F368" s="101"/>
      <c r="G368" s="101"/>
      <c r="H368" s="137"/>
      <c r="I368" s="6"/>
      <c r="J368" s="100">
        <f t="shared" si="30"/>
        <v>0</v>
      </c>
      <c r="K368" s="100">
        <f t="shared" si="31"/>
        <v>0</v>
      </c>
      <c r="L368" s="88">
        <f>K368*係数!$H$30</f>
        <v>0</v>
      </c>
      <c r="M368" s="25"/>
      <c r="N368" s="6"/>
      <c r="O368" s="6"/>
      <c r="P368" s="137"/>
      <c r="Q368" s="6"/>
      <c r="R368" s="533">
        <f t="shared" si="32"/>
        <v>0</v>
      </c>
      <c r="S368" s="12">
        <f t="shared" si="33"/>
        <v>0</v>
      </c>
      <c r="T368" s="88">
        <f>S368*係数!$H$30</f>
        <v>0</v>
      </c>
      <c r="U368" s="12">
        <f t="shared" si="34"/>
        <v>0</v>
      </c>
      <c r="V368" s="545">
        <f>U368*係数!$C$30*0.0000258</f>
        <v>0</v>
      </c>
      <c r="W368" s="543">
        <f t="shared" si="35"/>
        <v>0</v>
      </c>
    </row>
    <row r="369" spans="2:23" x14ac:dyDescent="0.55000000000000004">
      <c r="B369" s="194" t="s">
        <v>838</v>
      </c>
      <c r="C369" s="25"/>
      <c r="D369" s="128"/>
      <c r="E369" s="6"/>
      <c r="F369" s="101"/>
      <c r="G369" s="101"/>
      <c r="H369" s="137"/>
      <c r="I369" s="6"/>
      <c r="J369" s="100">
        <f t="shared" si="30"/>
        <v>0</v>
      </c>
      <c r="K369" s="100">
        <f t="shared" si="31"/>
        <v>0</v>
      </c>
      <c r="L369" s="88">
        <f>K369*係数!$H$30</f>
        <v>0</v>
      </c>
      <c r="M369" s="25"/>
      <c r="N369" s="6"/>
      <c r="O369" s="6"/>
      <c r="P369" s="137"/>
      <c r="Q369" s="6"/>
      <c r="R369" s="533">
        <f t="shared" si="32"/>
        <v>0</v>
      </c>
      <c r="S369" s="12">
        <f t="shared" si="33"/>
        <v>0</v>
      </c>
      <c r="T369" s="88">
        <f>S369*係数!$H$30</f>
        <v>0</v>
      </c>
      <c r="U369" s="12">
        <f t="shared" si="34"/>
        <v>0</v>
      </c>
      <c r="V369" s="545">
        <f>U369*係数!$C$30*0.0000258</f>
        <v>0</v>
      </c>
      <c r="W369" s="543">
        <f t="shared" si="35"/>
        <v>0</v>
      </c>
    </row>
    <row r="370" spans="2:23" x14ac:dyDescent="0.55000000000000004">
      <c r="B370" s="194" t="s">
        <v>839</v>
      </c>
      <c r="C370" s="25"/>
      <c r="D370" s="128"/>
      <c r="E370" s="6"/>
      <c r="F370" s="101"/>
      <c r="G370" s="101"/>
      <c r="H370" s="137"/>
      <c r="I370" s="6"/>
      <c r="J370" s="100">
        <f t="shared" si="30"/>
        <v>0</v>
      </c>
      <c r="K370" s="100">
        <f t="shared" si="31"/>
        <v>0</v>
      </c>
      <c r="L370" s="88">
        <f>K370*係数!$H$30</f>
        <v>0</v>
      </c>
      <c r="M370" s="25"/>
      <c r="N370" s="6"/>
      <c r="O370" s="6"/>
      <c r="P370" s="137"/>
      <c r="Q370" s="6"/>
      <c r="R370" s="533">
        <f t="shared" si="32"/>
        <v>0</v>
      </c>
      <c r="S370" s="12">
        <f t="shared" si="33"/>
        <v>0</v>
      </c>
      <c r="T370" s="88">
        <f>S370*係数!$H$30</f>
        <v>0</v>
      </c>
      <c r="U370" s="12">
        <f t="shared" si="34"/>
        <v>0</v>
      </c>
      <c r="V370" s="545">
        <f>U370*係数!$C$30*0.0000258</f>
        <v>0</v>
      </c>
      <c r="W370" s="543">
        <f t="shared" si="35"/>
        <v>0</v>
      </c>
    </row>
    <row r="371" spans="2:23" x14ac:dyDescent="0.55000000000000004">
      <c r="B371" s="194" t="s">
        <v>840</v>
      </c>
      <c r="C371" s="25"/>
      <c r="D371" s="128"/>
      <c r="E371" s="6"/>
      <c r="F371" s="101"/>
      <c r="G371" s="101"/>
      <c r="H371" s="137"/>
      <c r="I371" s="6"/>
      <c r="J371" s="100">
        <f t="shared" si="30"/>
        <v>0</v>
      </c>
      <c r="K371" s="100">
        <f t="shared" si="31"/>
        <v>0</v>
      </c>
      <c r="L371" s="88">
        <f>K371*係数!$H$30</f>
        <v>0</v>
      </c>
      <c r="M371" s="25"/>
      <c r="N371" s="6"/>
      <c r="O371" s="6"/>
      <c r="P371" s="137"/>
      <c r="Q371" s="6"/>
      <c r="R371" s="533">
        <f t="shared" si="32"/>
        <v>0</v>
      </c>
      <c r="S371" s="12">
        <f t="shared" si="33"/>
        <v>0</v>
      </c>
      <c r="T371" s="88">
        <f>S371*係数!$H$30</f>
        <v>0</v>
      </c>
      <c r="U371" s="12">
        <f t="shared" si="34"/>
        <v>0</v>
      </c>
      <c r="V371" s="545">
        <f>U371*係数!$C$30*0.0000258</f>
        <v>0</v>
      </c>
      <c r="W371" s="543">
        <f t="shared" si="35"/>
        <v>0</v>
      </c>
    </row>
    <row r="372" spans="2:23" x14ac:dyDescent="0.55000000000000004">
      <c r="B372" s="194" t="s">
        <v>841</v>
      </c>
      <c r="C372" s="25"/>
      <c r="D372" s="128"/>
      <c r="E372" s="6"/>
      <c r="F372" s="101"/>
      <c r="G372" s="101"/>
      <c r="H372" s="137"/>
      <c r="I372" s="6"/>
      <c r="J372" s="100">
        <f t="shared" si="30"/>
        <v>0</v>
      </c>
      <c r="K372" s="100">
        <f t="shared" si="31"/>
        <v>0</v>
      </c>
      <c r="L372" s="88">
        <f>K372*係数!$H$30</f>
        <v>0</v>
      </c>
      <c r="M372" s="25"/>
      <c r="N372" s="6"/>
      <c r="O372" s="6"/>
      <c r="P372" s="137"/>
      <c r="Q372" s="6"/>
      <c r="R372" s="533">
        <f t="shared" si="32"/>
        <v>0</v>
      </c>
      <c r="S372" s="12">
        <f t="shared" si="33"/>
        <v>0</v>
      </c>
      <c r="T372" s="88">
        <f>S372*係数!$H$30</f>
        <v>0</v>
      </c>
      <c r="U372" s="12">
        <f t="shared" si="34"/>
        <v>0</v>
      </c>
      <c r="V372" s="545">
        <f>U372*係数!$C$30*0.0000258</f>
        <v>0</v>
      </c>
      <c r="W372" s="543">
        <f t="shared" si="35"/>
        <v>0</v>
      </c>
    </row>
    <row r="373" spans="2:23" x14ac:dyDescent="0.55000000000000004">
      <c r="B373" s="194" t="s">
        <v>842</v>
      </c>
      <c r="C373" s="25"/>
      <c r="D373" s="128"/>
      <c r="E373" s="6"/>
      <c r="F373" s="101"/>
      <c r="G373" s="101"/>
      <c r="H373" s="137"/>
      <c r="I373" s="6"/>
      <c r="J373" s="100">
        <f t="shared" si="30"/>
        <v>0</v>
      </c>
      <c r="K373" s="100">
        <f t="shared" si="31"/>
        <v>0</v>
      </c>
      <c r="L373" s="88">
        <f>K373*係数!$H$30</f>
        <v>0</v>
      </c>
      <c r="M373" s="25"/>
      <c r="N373" s="6"/>
      <c r="O373" s="6"/>
      <c r="P373" s="137"/>
      <c r="Q373" s="6"/>
      <c r="R373" s="533">
        <f t="shared" si="32"/>
        <v>0</v>
      </c>
      <c r="S373" s="12">
        <f t="shared" si="33"/>
        <v>0</v>
      </c>
      <c r="T373" s="88">
        <f>S373*係数!$H$30</f>
        <v>0</v>
      </c>
      <c r="U373" s="12">
        <f t="shared" si="34"/>
        <v>0</v>
      </c>
      <c r="V373" s="545">
        <f>U373*係数!$C$30*0.0000258</f>
        <v>0</v>
      </c>
      <c r="W373" s="543">
        <f t="shared" si="35"/>
        <v>0</v>
      </c>
    </row>
    <row r="374" spans="2:23" x14ac:dyDescent="0.55000000000000004">
      <c r="B374" s="194" t="s">
        <v>843</v>
      </c>
      <c r="C374" s="25"/>
      <c r="D374" s="128"/>
      <c r="E374" s="6"/>
      <c r="F374" s="101"/>
      <c r="G374" s="101"/>
      <c r="H374" s="137"/>
      <c r="I374" s="6"/>
      <c r="J374" s="100">
        <f t="shared" si="30"/>
        <v>0</v>
      </c>
      <c r="K374" s="100">
        <f t="shared" si="31"/>
        <v>0</v>
      </c>
      <c r="L374" s="88">
        <f>K374*係数!$H$30</f>
        <v>0</v>
      </c>
      <c r="M374" s="25"/>
      <c r="N374" s="6"/>
      <c r="O374" s="6"/>
      <c r="P374" s="137"/>
      <c r="Q374" s="6"/>
      <c r="R374" s="533">
        <f t="shared" si="32"/>
        <v>0</v>
      </c>
      <c r="S374" s="12">
        <f t="shared" si="33"/>
        <v>0</v>
      </c>
      <c r="T374" s="88">
        <f>S374*係数!$H$30</f>
        <v>0</v>
      </c>
      <c r="U374" s="12">
        <f t="shared" si="34"/>
        <v>0</v>
      </c>
      <c r="V374" s="545">
        <f>U374*係数!$C$30*0.0000258</f>
        <v>0</v>
      </c>
      <c r="W374" s="543">
        <f t="shared" si="35"/>
        <v>0</v>
      </c>
    </row>
    <row r="375" spans="2:23" x14ac:dyDescent="0.55000000000000004">
      <c r="B375" s="194" t="s">
        <v>844</v>
      </c>
      <c r="C375" s="25"/>
      <c r="D375" s="128"/>
      <c r="E375" s="6"/>
      <c r="F375" s="101"/>
      <c r="G375" s="101"/>
      <c r="H375" s="137"/>
      <c r="I375" s="6"/>
      <c r="J375" s="100">
        <f t="shared" si="30"/>
        <v>0</v>
      </c>
      <c r="K375" s="100">
        <f t="shared" si="31"/>
        <v>0</v>
      </c>
      <c r="L375" s="88">
        <f>K375*係数!$H$30</f>
        <v>0</v>
      </c>
      <c r="M375" s="25"/>
      <c r="N375" s="6"/>
      <c r="O375" s="6"/>
      <c r="P375" s="137"/>
      <c r="Q375" s="6"/>
      <c r="R375" s="533">
        <f t="shared" si="32"/>
        <v>0</v>
      </c>
      <c r="S375" s="12">
        <f t="shared" si="33"/>
        <v>0</v>
      </c>
      <c r="T375" s="88">
        <f>S375*係数!$H$30</f>
        <v>0</v>
      </c>
      <c r="U375" s="12">
        <f t="shared" si="34"/>
        <v>0</v>
      </c>
      <c r="V375" s="545">
        <f>U375*係数!$C$30*0.0000258</f>
        <v>0</v>
      </c>
      <c r="W375" s="543">
        <f t="shared" si="35"/>
        <v>0</v>
      </c>
    </row>
    <row r="376" spans="2:23" x14ac:dyDescent="0.55000000000000004">
      <c r="B376" s="194" t="s">
        <v>845</v>
      </c>
      <c r="C376" s="25"/>
      <c r="D376" s="128"/>
      <c r="E376" s="6"/>
      <c r="F376" s="101"/>
      <c r="G376" s="101"/>
      <c r="H376" s="137"/>
      <c r="I376" s="6"/>
      <c r="J376" s="100">
        <f t="shared" si="30"/>
        <v>0</v>
      </c>
      <c r="K376" s="100">
        <f t="shared" si="31"/>
        <v>0</v>
      </c>
      <c r="L376" s="88">
        <f>K376*係数!$H$30</f>
        <v>0</v>
      </c>
      <c r="M376" s="25"/>
      <c r="N376" s="6"/>
      <c r="O376" s="6"/>
      <c r="P376" s="137"/>
      <c r="Q376" s="6"/>
      <c r="R376" s="533">
        <f t="shared" si="32"/>
        <v>0</v>
      </c>
      <c r="S376" s="12">
        <f t="shared" si="33"/>
        <v>0</v>
      </c>
      <c r="T376" s="88">
        <f>S376*係数!$H$30</f>
        <v>0</v>
      </c>
      <c r="U376" s="12">
        <f t="shared" si="34"/>
        <v>0</v>
      </c>
      <c r="V376" s="545">
        <f>U376*係数!$C$30*0.0000258</f>
        <v>0</v>
      </c>
      <c r="W376" s="543">
        <f t="shared" si="35"/>
        <v>0</v>
      </c>
    </row>
    <row r="377" spans="2:23" x14ac:dyDescent="0.55000000000000004">
      <c r="B377" s="194" t="s">
        <v>846</v>
      </c>
      <c r="C377" s="25"/>
      <c r="D377" s="128"/>
      <c r="E377" s="6"/>
      <c r="F377" s="101"/>
      <c r="G377" s="101"/>
      <c r="H377" s="137"/>
      <c r="I377" s="6"/>
      <c r="J377" s="100">
        <f t="shared" si="30"/>
        <v>0</v>
      </c>
      <c r="K377" s="100">
        <f t="shared" si="31"/>
        <v>0</v>
      </c>
      <c r="L377" s="88">
        <f>K377*係数!$H$30</f>
        <v>0</v>
      </c>
      <c r="M377" s="25"/>
      <c r="N377" s="6"/>
      <c r="O377" s="6"/>
      <c r="P377" s="137"/>
      <c r="Q377" s="6"/>
      <c r="R377" s="533">
        <f t="shared" si="32"/>
        <v>0</v>
      </c>
      <c r="S377" s="12">
        <f t="shared" si="33"/>
        <v>0</v>
      </c>
      <c r="T377" s="88">
        <f>S377*係数!$H$30</f>
        <v>0</v>
      </c>
      <c r="U377" s="12">
        <f t="shared" si="34"/>
        <v>0</v>
      </c>
      <c r="V377" s="545">
        <f>U377*係数!$C$30*0.0000258</f>
        <v>0</v>
      </c>
      <c r="W377" s="543">
        <f t="shared" si="35"/>
        <v>0</v>
      </c>
    </row>
    <row r="378" spans="2:23" x14ac:dyDescent="0.55000000000000004">
      <c r="B378" s="194" t="s">
        <v>847</v>
      </c>
      <c r="C378" s="25"/>
      <c r="D378" s="128"/>
      <c r="E378" s="6"/>
      <c r="F378" s="101"/>
      <c r="G378" s="101"/>
      <c r="H378" s="137"/>
      <c r="I378" s="6"/>
      <c r="J378" s="100">
        <f t="shared" si="30"/>
        <v>0</v>
      </c>
      <c r="K378" s="100">
        <f t="shared" si="31"/>
        <v>0</v>
      </c>
      <c r="L378" s="88">
        <f>K378*係数!$H$30</f>
        <v>0</v>
      </c>
      <c r="M378" s="25"/>
      <c r="N378" s="6"/>
      <c r="O378" s="6"/>
      <c r="P378" s="137"/>
      <c r="Q378" s="6"/>
      <c r="R378" s="533">
        <f t="shared" si="32"/>
        <v>0</v>
      </c>
      <c r="S378" s="12">
        <f t="shared" si="33"/>
        <v>0</v>
      </c>
      <c r="T378" s="88">
        <f>S378*係数!$H$30</f>
        <v>0</v>
      </c>
      <c r="U378" s="12">
        <f t="shared" si="34"/>
        <v>0</v>
      </c>
      <c r="V378" s="545">
        <f>U378*係数!$C$30*0.0000258</f>
        <v>0</v>
      </c>
      <c r="W378" s="543">
        <f t="shared" si="35"/>
        <v>0</v>
      </c>
    </row>
    <row r="379" spans="2:23" x14ac:dyDescent="0.55000000000000004">
      <c r="B379" s="194" t="s">
        <v>848</v>
      </c>
      <c r="C379" s="25"/>
      <c r="D379" s="128"/>
      <c r="E379" s="6"/>
      <c r="F379" s="101"/>
      <c r="G379" s="101"/>
      <c r="H379" s="137"/>
      <c r="I379" s="6"/>
      <c r="J379" s="100">
        <f t="shared" si="30"/>
        <v>0</v>
      </c>
      <c r="K379" s="100">
        <f t="shared" si="31"/>
        <v>0</v>
      </c>
      <c r="L379" s="88">
        <f>K379*係数!$H$30</f>
        <v>0</v>
      </c>
      <c r="M379" s="25"/>
      <c r="N379" s="6"/>
      <c r="O379" s="6"/>
      <c r="P379" s="137"/>
      <c r="Q379" s="6"/>
      <c r="R379" s="533">
        <f t="shared" si="32"/>
        <v>0</v>
      </c>
      <c r="S379" s="12">
        <f t="shared" si="33"/>
        <v>0</v>
      </c>
      <c r="T379" s="88">
        <f>S379*係数!$H$30</f>
        <v>0</v>
      </c>
      <c r="U379" s="12">
        <f t="shared" si="34"/>
        <v>0</v>
      </c>
      <c r="V379" s="545">
        <f>U379*係数!$C$30*0.0000258</f>
        <v>0</v>
      </c>
      <c r="W379" s="543">
        <f t="shared" si="35"/>
        <v>0</v>
      </c>
    </row>
    <row r="380" spans="2:23" x14ac:dyDescent="0.55000000000000004">
      <c r="B380" s="194" t="s">
        <v>849</v>
      </c>
      <c r="C380" s="25"/>
      <c r="D380" s="128"/>
      <c r="E380" s="6"/>
      <c r="F380" s="101"/>
      <c r="G380" s="101"/>
      <c r="H380" s="137"/>
      <c r="I380" s="6"/>
      <c r="J380" s="100">
        <f t="shared" si="30"/>
        <v>0</v>
      </c>
      <c r="K380" s="100">
        <f t="shared" si="31"/>
        <v>0</v>
      </c>
      <c r="L380" s="88">
        <f>K380*係数!$H$30</f>
        <v>0</v>
      </c>
      <c r="M380" s="25"/>
      <c r="N380" s="6"/>
      <c r="O380" s="6"/>
      <c r="P380" s="137"/>
      <c r="Q380" s="6"/>
      <c r="R380" s="533">
        <f t="shared" si="32"/>
        <v>0</v>
      </c>
      <c r="S380" s="12">
        <f t="shared" si="33"/>
        <v>0</v>
      </c>
      <c r="T380" s="88">
        <f>S380*係数!$H$30</f>
        <v>0</v>
      </c>
      <c r="U380" s="12">
        <f t="shared" si="34"/>
        <v>0</v>
      </c>
      <c r="V380" s="545">
        <f>U380*係数!$C$30*0.0000258</f>
        <v>0</v>
      </c>
      <c r="W380" s="543">
        <f t="shared" si="35"/>
        <v>0</v>
      </c>
    </row>
    <row r="381" spans="2:23" x14ac:dyDescent="0.55000000000000004">
      <c r="B381" s="194" t="s">
        <v>850</v>
      </c>
      <c r="C381" s="25"/>
      <c r="D381" s="128"/>
      <c r="E381" s="6"/>
      <c r="F381" s="101"/>
      <c r="G381" s="101"/>
      <c r="H381" s="137"/>
      <c r="I381" s="6"/>
      <c r="J381" s="100">
        <f t="shared" si="30"/>
        <v>0</v>
      </c>
      <c r="K381" s="100">
        <f t="shared" si="31"/>
        <v>0</v>
      </c>
      <c r="L381" s="88">
        <f>K381*係数!$H$30</f>
        <v>0</v>
      </c>
      <c r="M381" s="25"/>
      <c r="N381" s="6"/>
      <c r="O381" s="6"/>
      <c r="P381" s="137"/>
      <c r="Q381" s="6"/>
      <c r="R381" s="533">
        <f t="shared" si="32"/>
        <v>0</v>
      </c>
      <c r="S381" s="12">
        <f t="shared" si="33"/>
        <v>0</v>
      </c>
      <c r="T381" s="88">
        <f>S381*係数!$H$30</f>
        <v>0</v>
      </c>
      <c r="U381" s="12">
        <f t="shared" si="34"/>
        <v>0</v>
      </c>
      <c r="V381" s="545">
        <f>U381*係数!$C$30*0.0000258</f>
        <v>0</v>
      </c>
      <c r="W381" s="543">
        <f t="shared" si="35"/>
        <v>0</v>
      </c>
    </row>
    <row r="382" spans="2:23" x14ac:dyDescent="0.55000000000000004">
      <c r="B382" s="194" t="s">
        <v>851</v>
      </c>
      <c r="C382" s="25"/>
      <c r="D382" s="128"/>
      <c r="E382" s="6"/>
      <c r="F382" s="101"/>
      <c r="G382" s="101"/>
      <c r="H382" s="137"/>
      <c r="I382" s="6"/>
      <c r="J382" s="100">
        <f t="shared" si="30"/>
        <v>0</v>
      </c>
      <c r="K382" s="100">
        <f t="shared" si="31"/>
        <v>0</v>
      </c>
      <c r="L382" s="88">
        <f>K382*係数!$H$30</f>
        <v>0</v>
      </c>
      <c r="M382" s="25"/>
      <c r="N382" s="6"/>
      <c r="O382" s="6"/>
      <c r="P382" s="137"/>
      <c r="Q382" s="6"/>
      <c r="R382" s="533">
        <f t="shared" si="32"/>
        <v>0</v>
      </c>
      <c r="S382" s="12">
        <f t="shared" si="33"/>
        <v>0</v>
      </c>
      <c r="T382" s="88">
        <f>S382*係数!$H$30</f>
        <v>0</v>
      </c>
      <c r="U382" s="12">
        <f t="shared" si="34"/>
        <v>0</v>
      </c>
      <c r="V382" s="545">
        <f>U382*係数!$C$30*0.0000258</f>
        <v>0</v>
      </c>
      <c r="W382" s="543">
        <f t="shared" si="35"/>
        <v>0</v>
      </c>
    </row>
    <row r="383" spans="2:23" x14ac:dyDescent="0.55000000000000004">
      <c r="B383" s="194" t="s">
        <v>852</v>
      </c>
      <c r="C383" s="25"/>
      <c r="D383" s="128"/>
      <c r="E383" s="6"/>
      <c r="F383" s="101"/>
      <c r="G383" s="101"/>
      <c r="H383" s="137"/>
      <c r="I383" s="6"/>
      <c r="J383" s="100">
        <f t="shared" si="30"/>
        <v>0</v>
      </c>
      <c r="K383" s="100">
        <f t="shared" si="31"/>
        <v>0</v>
      </c>
      <c r="L383" s="88">
        <f>K383*係数!$H$30</f>
        <v>0</v>
      </c>
      <c r="M383" s="25"/>
      <c r="N383" s="6"/>
      <c r="O383" s="6"/>
      <c r="P383" s="137"/>
      <c r="Q383" s="6"/>
      <c r="R383" s="533">
        <f t="shared" si="32"/>
        <v>0</v>
      </c>
      <c r="S383" s="12">
        <f t="shared" si="33"/>
        <v>0</v>
      </c>
      <c r="T383" s="88">
        <f>S383*係数!$H$30</f>
        <v>0</v>
      </c>
      <c r="U383" s="12">
        <f t="shared" si="34"/>
        <v>0</v>
      </c>
      <c r="V383" s="545">
        <f>U383*係数!$C$30*0.0000258</f>
        <v>0</v>
      </c>
      <c r="W383" s="543">
        <f t="shared" si="35"/>
        <v>0</v>
      </c>
    </row>
    <row r="384" spans="2:23" x14ac:dyDescent="0.55000000000000004">
      <c r="B384" s="194" t="s">
        <v>853</v>
      </c>
      <c r="C384" s="25"/>
      <c r="D384" s="128"/>
      <c r="E384" s="6"/>
      <c r="F384" s="101"/>
      <c r="G384" s="101"/>
      <c r="H384" s="137"/>
      <c r="I384" s="6"/>
      <c r="J384" s="100">
        <f t="shared" si="30"/>
        <v>0</v>
      </c>
      <c r="K384" s="100">
        <f t="shared" si="31"/>
        <v>0</v>
      </c>
      <c r="L384" s="88">
        <f>K384*係数!$H$30</f>
        <v>0</v>
      </c>
      <c r="M384" s="25"/>
      <c r="N384" s="6"/>
      <c r="O384" s="6"/>
      <c r="P384" s="137"/>
      <c r="Q384" s="6"/>
      <c r="R384" s="533">
        <f t="shared" si="32"/>
        <v>0</v>
      </c>
      <c r="S384" s="12">
        <f t="shared" si="33"/>
        <v>0</v>
      </c>
      <c r="T384" s="88">
        <f>S384*係数!$H$30</f>
        <v>0</v>
      </c>
      <c r="U384" s="12">
        <f t="shared" si="34"/>
        <v>0</v>
      </c>
      <c r="V384" s="545">
        <f>U384*係数!$C$30*0.0000258</f>
        <v>0</v>
      </c>
      <c r="W384" s="543">
        <f t="shared" si="35"/>
        <v>0</v>
      </c>
    </row>
    <row r="385" spans="2:23" x14ac:dyDescent="0.55000000000000004">
      <c r="B385" s="194" t="s">
        <v>854</v>
      </c>
      <c r="C385" s="25"/>
      <c r="D385" s="128"/>
      <c r="E385" s="6"/>
      <c r="F385" s="101"/>
      <c r="G385" s="101"/>
      <c r="H385" s="137"/>
      <c r="I385" s="6"/>
      <c r="J385" s="100">
        <f t="shared" si="30"/>
        <v>0</v>
      </c>
      <c r="K385" s="100">
        <f t="shared" si="31"/>
        <v>0</v>
      </c>
      <c r="L385" s="88">
        <f>K385*係数!$H$30</f>
        <v>0</v>
      </c>
      <c r="M385" s="25"/>
      <c r="N385" s="6"/>
      <c r="O385" s="6"/>
      <c r="P385" s="137"/>
      <c r="Q385" s="6"/>
      <c r="R385" s="533">
        <f t="shared" si="32"/>
        <v>0</v>
      </c>
      <c r="S385" s="12">
        <f t="shared" si="33"/>
        <v>0</v>
      </c>
      <c r="T385" s="88">
        <f>S385*係数!$H$30</f>
        <v>0</v>
      </c>
      <c r="U385" s="12">
        <f t="shared" si="34"/>
        <v>0</v>
      </c>
      <c r="V385" s="545">
        <f>U385*係数!$C$30*0.0000258</f>
        <v>0</v>
      </c>
      <c r="W385" s="543">
        <f t="shared" si="35"/>
        <v>0</v>
      </c>
    </row>
    <row r="386" spans="2:23" x14ac:dyDescent="0.55000000000000004">
      <c r="B386" s="194" t="s">
        <v>855</v>
      </c>
      <c r="C386" s="25"/>
      <c r="D386" s="128"/>
      <c r="E386" s="6"/>
      <c r="F386" s="101"/>
      <c r="G386" s="101"/>
      <c r="H386" s="137"/>
      <c r="I386" s="6"/>
      <c r="J386" s="100">
        <f t="shared" si="30"/>
        <v>0</v>
      </c>
      <c r="K386" s="100">
        <f t="shared" si="31"/>
        <v>0</v>
      </c>
      <c r="L386" s="88">
        <f>K386*係数!$H$30</f>
        <v>0</v>
      </c>
      <c r="M386" s="25"/>
      <c r="N386" s="6"/>
      <c r="O386" s="6"/>
      <c r="P386" s="137"/>
      <c r="Q386" s="6"/>
      <c r="R386" s="533">
        <f t="shared" si="32"/>
        <v>0</v>
      </c>
      <c r="S386" s="12">
        <f t="shared" si="33"/>
        <v>0</v>
      </c>
      <c r="T386" s="88">
        <f>S386*係数!$H$30</f>
        <v>0</v>
      </c>
      <c r="U386" s="12">
        <f t="shared" si="34"/>
        <v>0</v>
      </c>
      <c r="V386" s="545">
        <f>U386*係数!$C$30*0.0000258</f>
        <v>0</v>
      </c>
      <c r="W386" s="543">
        <f t="shared" si="35"/>
        <v>0</v>
      </c>
    </row>
    <row r="387" spans="2:23" x14ac:dyDescent="0.55000000000000004">
      <c r="B387" s="194" t="s">
        <v>856</v>
      </c>
      <c r="C387" s="25"/>
      <c r="D387" s="128"/>
      <c r="E387" s="6"/>
      <c r="F387" s="101"/>
      <c r="G387" s="101"/>
      <c r="H387" s="137"/>
      <c r="I387" s="6"/>
      <c r="J387" s="100">
        <f t="shared" si="30"/>
        <v>0</v>
      </c>
      <c r="K387" s="100">
        <f t="shared" si="31"/>
        <v>0</v>
      </c>
      <c r="L387" s="88">
        <f>K387*係数!$H$30</f>
        <v>0</v>
      </c>
      <c r="M387" s="25"/>
      <c r="N387" s="6"/>
      <c r="O387" s="6"/>
      <c r="P387" s="137"/>
      <c r="Q387" s="6"/>
      <c r="R387" s="533">
        <f t="shared" si="32"/>
        <v>0</v>
      </c>
      <c r="S387" s="12">
        <f t="shared" si="33"/>
        <v>0</v>
      </c>
      <c r="T387" s="88">
        <f>S387*係数!$H$30</f>
        <v>0</v>
      </c>
      <c r="U387" s="12">
        <f t="shared" si="34"/>
        <v>0</v>
      </c>
      <c r="V387" s="545">
        <f>U387*係数!$C$30*0.0000258</f>
        <v>0</v>
      </c>
      <c r="W387" s="543">
        <f t="shared" si="35"/>
        <v>0</v>
      </c>
    </row>
    <row r="388" spans="2:23" x14ac:dyDescent="0.55000000000000004">
      <c r="B388" s="194" t="s">
        <v>857</v>
      </c>
      <c r="C388" s="25"/>
      <c r="D388" s="128"/>
      <c r="E388" s="6"/>
      <c r="F388" s="101"/>
      <c r="G388" s="101"/>
      <c r="H388" s="137"/>
      <c r="I388" s="6"/>
      <c r="J388" s="100">
        <f t="shared" ref="J388:J417" si="36">IF(H388="",F388*G388,F388*G388*I388/100)</f>
        <v>0</v>
      </c>
      <c r="K388" s="100">
        <f t="shared" ref="K388:K417" si="37">D388*E388*J388/1000</f>
        <v>0</v>
      </c>
      <c r="L388" s="88">
        <f>K388*係数!$H$30</f>
        <v>0</v>
      </c>
      <c r="M388" s="25"/>
      <c r="N388" s="6"/>
      <c r="O388" s="6"/>
      <c r="P388" s="137"/>
      <c r="Q388" s="6"/>
      <c r="R388" s="533">
        <f t="shared" si="32"/>
        <v>0</v>
      </c>
      <c r="S388" s="12">
        <f t="shared" si="33"/>
        <v>0</v>
      </c>
      <c r="T388" s="88">
        <f>S388*係数!$H$30</f>
        <v>0</v>
      </c>
      <c r="U388" s="12">
        <f t="shared" si="34"/>
        <v>0</v>
      </c>
      <c r="V388" s="545">
        <f>U388*係数!$C$30*0.0000258</f>
        <v>0</v>
      </c>
      <c r="W388" s="543">
        <f t="shared" si="35"/>
        <v>0</v>
      </c>
    </row>
    <row r="389" spans="2:23" x14ac:dyDescent="0.55000000000000004">
      <c r="B389" s="194" t="s">
        <v>858</v>
      </c>
      <c r="C389" s="25"/>
      <c r="D389" s="128"/>
      <c r="E389" s="6"/>
      <c r="F389" s="101"/>
      <c r="G389" s="101"/>
      <c r="H389" s="137"/>
      <c r="I389" s="6"/>
      <c r="J389" s="100">
        <f t="shared" si="36"/>
        <v>0</v>
      </c>
      <c r="K389" s="100">
        <f t="shared" si="37"/>
        <v>0</v>
      </c>
      <c r="L389" s="88">
        <f>K389*係数!$H$30</f>
        <v>0</v>
      </c>
      <c r="M389" s="25"/>
      <c r="N389" s="6"/>
      <c r="O389" s="6"/>
      <c r="P389" s="137"/>
      <c r="Q389" s="6"/>
      <c r="R389" s="533">
        <f t="shared" si="32"/>
        <v>0</v>
      </c>
      <c r="S389" s="12">
        <f t="shared" si="33"/>
        <v>0</v>
      </c>
      <c r="T389" s="88">
        <f>S389*係数!$H$30</f>
        <v>0</v>
      </c>
      <c r="U389" s="12">
        <f t="shared" si="34"/>
        <v>0</v>
      </c>
      <c r="V389" s="545">
        <f>U389*係数!$C$30*0.0000258</f>
        <v>0</v>
      </c>
      <c r="W389" s="543">
        <f t="shared" si="35"/>
        <v>0</v>
      </c>
    </row>
    <row r="390" spans="2:23" x14ac:dyDescent="0.55000000000000004">
      <c r="B390" s="194" t="s">
        <v>859</v>
      </c>
      <c r="C390" s="25"/>
      <c r="D390" s="128"/>
      <c r="E390" s="6"/>
      <c r="F390" s="101"/>
      <c r="G390" s="101"/>
      <c r="H390" s="137"/>
      <c r="I390" s="6"/>
      <c r="J390" s="100">
        <f t="shared" si="36"/>
        <v>0</v>
      </c>
      <c r="K390" s="100">
        <f t="shared" si="37"/>
        <v>0</v>
      </c>
      <c r="L390" s="88">
        <f>K390*係数!$H$30</f>
        <v>0</v>
      </c>
      <c r="M390" s="25"/>
      <c r="N390" s="6"/>
      <c r="O390" s="6"/>
      <c r="P390" s="137"/>
      <c r="Q390" s="6"/>
      <c r="R390" s="533">
        <f t="shared" si="32"/>
        <v>0</v>
      </c>
      <c r="S390" s="12">
        <f t="shared" si="33"/>
        <v>0</v>
      </c>
      <c r="T390" s="88">
        <f>S390*係数!$H$30</f>
        <v>0</v>
      </c>
      <c r="U390" s="12">
        <f t="shared" si="34"/>
        <v>0</v>
      </c>
      <c r="V390" s="545">
        <f>U390*係数!$C$30*0.0000258</f>
        <v>0</v>
      </c>
      <c r="W390" s="543">
        <f t="shared" si="35"/>
        <v>0</v>
      </c>
    </row>
    <row r="391" spans="2:23" x14ac:dyDescent="0.55000000000000004">
      <c r="B391" s="194" t="s">
        <v>860</v>
      </c>
      <c r="C391" s="25"/>
      <c r="D391" s="128"/>
      <c r="E391" s="6"/>
      <c r="F391" s="101"/>
      <c r="G391" s="101"/>
      <c r="H391" s="137"/>
      <c r="I391" s="6"/>
      <c r="J391" s="100">
        <f t="shared" si="36"/>
        <v>0</v>
      </c>
      <c r="K391" s="100">
        <f t="shared" si="37"/>
        <v>0</v>
      </c>
      <c r="L391" s="88">
        <f>K391*係数!$H$30</f>
        <v>0</v>
      </c>
      <c r="M391" s="25"/>
      <c r="N391" s="6"/>
      <c r="O391" s="6"/>
      <c r="P391" s="137"/>
      <c r="Q391" s="6"/>
      <c r="R391" s="533">
        <f t="shared" si="32"/>
        <v>0</v>
      </c>
      <c r="S391" s="12">
        <f t="shared" si="33"/>
        <v>0</v>
      </c>
      <c r="T391" s="88">
        <f>S391*係数!$H$30</f>
        <v>0</v>
      </c>
      <c r="U391" s="12">
        <f t="shared" si="34"/>
        <v>0</v>
      </c>
      <c r="V391" s="545">
        <f>U391*係数!$C$30*0.0000258</f>
        <v>0</v>
      </c>
      <c r="W391" s="543">
        <f t="shared" si="35"/>
        <v>0</v>
      </c>
    </row>
    <row r="392" spans="2:23" x14ac:dyDescent="0.55000000000000004">
      <c r="B392" s="194" t="s">
        <v>861</v>
      </c>
      <c r="C392" s="25"/>
      <c r="D392" s="128"/>
      <c r="E392" s="6"/>
      <c r="F392" s="101"/>
      <c r="G392" s="101"/>
      <c r="H392" s="137"/>
      <c r="I392" s="6"/>
      <c r="J392" s="100">
        <f t="shared" si="36"/>
        <v>0</v>
      </c>
      <c r="K392" s="100">
        <f t="shared" si="37"/>
        <v>0</v>
      </c>
      <c r="L392" s="88">
        <f>K392*係数!$H$30</f>
        <v>0</v>
      </c>
      <c r="M392" s="25"/>
      <c r="N392" s="6"/>
      <c r="O392" s="6"/>
      <c r="P392" s="137"/>
      <c r="Q392" s="6"/>
      <c r="R392" s="533">
        <f t="shared" si="32"/>
        <v>0</v>
      </c>
      <c r="S392" s="12">
        <f t="shared" si="33"/>
        <v>0</v>
      </c>
      <c r="T392" s="88">
        <f>S392*係数!$H$30</f>
        <v>0</v>
      </c>
      <c r="U392" s="12">
        <f t="shared" si="34"/>
        <v>0</v>
      </c>
      <c r="V392" s="545">
        <f>U392*係数!$C$30*0.0000258</f>
        <v>0</v>
      </c>
      <c r="W392" s="543">
        <f t="shared" si="35"/>
        <v>0</v>
      </c>
    </row>
    <row r="393" spans="2:23" x14ac:dyDescent="0.55000000000000004">
      <c r="B393" s="194" t="s">
        <v>862</v>
      </c>
      <c r="C393" s="25"/>
      <c r="D393" s="128"/>
      <c r="E393" s="6"/>
      <c r="F393" s="101"/>
      <c r="G393" s="101"/>
      <c r="H393" s="137"/>
      <c r="I393" s="6"/>
      <c r="J393" s="100">
        <f t="shared" si="36"/>
        <v>0</v>
      </c>
      <c r="K393" s="100">
        <f t="shared" si="37"/>
        <v>0</v>
      </c>
      <c r="L393" s="88">
        <f>K393*係数!$H$30</f>
        <v>0</v>
      </c>
      <c r="M393" s="25"/>
      <c r="N393" s="6"/>
      <c r="O393" s="6"/>
      <c r="P393" s="137"/>
      <c r="Q393" s="6"/>
      <c r="R393" s="533">
        <f t="shared" si="32"/>
        <v>0</v>
      </c>
      <c r="S393" s="12">
        <f t="shared" si="33"/>
        <v>0</v>
      </c>
      <c r="T393" s="88">
        <f>S393*係数!$H$30</f>
        <v>0</v>
      </c>
      <c r="U393" s="12">
        <f t="shared" si="34"/>
        <v>0</v>
      </c>
      <c r="V393" s="545">
        <f>U393*係数!$C$30*0.0000258</f>
        <v>0</v>
      </c>
      <c r="W393" s="543">
        <f t="shared" si="35"/>
        <v>0</v>
      </c>
    </row>
    <row r="394" spans="2:23" x14ac:dyDescent="0.55000000000000004">
      <c r="B394" s="194" t="s">
        <v>863</v>
      </c>
      <c r="C394" s="25"/>
      <c r="D394" s="128"/>
      <c r="E394" s="6"/>
      <c r="F394" s="101"/>
      <c r="G394" s="101"/>
      <c r="H394" s="137"/>
      <c r="I394" s="6"/>
      <c r="J394" s="100">
        <f t="shared" si="36"/>
        <v>0</v>
      </c>
      <c r="K394" s="100">
        <f t="shared" si="37"/>
        <v>0</v>
      </c>
      <c r="L394" s="88">
        <f>K394*係数!$H$30</f>
        <v>0</v>
      </c>
      <c r="M394" s="25"/>
      <c r="N394" s="6"/>
      <c r="O394" s="6"/>
      <c r="P394" s="137"/>
      <c r="Q394" s="6"/>
      <c r="R394" s="533">
        <f t="shared" si="32"/>
        <v>0</v>
      </c>
      <c r="S394" s="12">
        <f t="shared" si="33"/>
        <v>0</v>
      </c>
      <c r="T394" s="88">
        <f>S394*係数!$H$30</f>
        <v>0</v>
      </c>
      <c r="U394" s="12">
        <f t="shared" si="34"/>
        <v>0</v>
      </c>
      <c r="V394" s="545">
        <f>U394*係数!$C$30*0.0000258</f>
        <v>0</v>
      </c>
      <c r="W394" s="543">
        <f t="shared" si="35"/>
        <v>0</v>
      </c>
    </row>
    <row r="395" spans="2:23" x14ac:dyDescent="0.55000000000000004">
      <c r="B395" s="194" t="s">
        <v>864</v>
      </c>
      <c r="C395" s="25"/>
      <c r="D395" s="128"/>
      <c r="E395" s="6"/>
      <c r="F395" s="101"/>
      <c r="G395" s="101"/>
      <c r="H395" s="137"/>
      <c r="I395" s="6"/>
      <c r="J395" s="100">
        <f t="shared" si="36"/>
        <v>0</v>
      </c>
      <c r="K395" s="100">
        <f t="shared" si="37"/>
        <v>0</v>
      </c>
      <c r="L395" s="88">
        <f>K395*係数!$H$30</f>
        <v>0</v>
      </c>
      <c r="M395" s="25"/>
      <c r="N395" s="6"/>
      <c r="O395" s="6"/>
      <c r="P395" s="137"/>
      <c r="Q395" s="6"/>
      <c r="R395" s="533">
        <f t="shared" si="32"/>
        <v>0</v>
      </c>
      <c r="S395" s="12">
        <f t="shared" si="33"/>
        <v>0</v>
      </c>
      <c r="T395" s="88">
        <f>S395*係数!$H$30</f>
        <v>0</v>
      </c>
      <c r="U395" s="12">
        <f t="shared" si="34"/>
        <v>0</v>
      </c>
      <c r="V395" s="545">
        <f>U395*係数!$C$30*0.0000258</f>
        <v>0</v>
      </c>
      <c r="W395" s="543">
        <f t="shared" si="35"/>
        <v>0</v>
      </c>
    </row>
    <row r="396" spans="2:23" x14ac:dyDescent="0.55000000000000004">
      <c r="B396" s="194" t="s">
        <v>865</v>
      </c>
      <c r="C396" s="25"/>
      <c r="D396" s="128"/>
      <c r="E396" s="6"/>
      <c r="F396" s="101"/>
      <c r="G396" s="101"/>
      <c r="H396" s="137"/>
      <c r="I396" s="6"/>
      <c r="J396" s="100">
        <f t="shared" si="36"/>
        <v>0</v>
      </c>
      <c r="K396" s="100">
        <f t="shared" si="37"/>
        <v>0</v>
      </c>
      <c r="L396" s="88">
        <f>K396*係数!$H$30</f>
        <v>0</v>
      </c>
      <c r="M396" s="25"/>
      <c r="N396" s="6"/>
      <c r="O396" s="6"/>
      <c r="P396" s="137"/>
      <c r="Q396" s="6"/>
      <c r="R396" s="533">
        <f t="shared" si="32"/>
        <v>0</v>
      </c>
      <c r="S396" s="12">
        <f t="shared" si="33"/>
        <v>0</v>
      </c>
      <c r="T396" s="88">
        <f>S396*係数!$H$30</f>
        <v>0</v>
      </c>
      <c r="U396" s="12">
        <f t="shared" si="34"/>
        <v>0</v>
      </c>
      <c r="V396" s="545">
        <f>U396*係数!$C$30*0.0000258</f>
        <v>0</v>
      </c>
      <c r="W396" s="543">
        <f t="shared" si="35"/>
        <v>0</v>
      </c>
    </row>
    <row r="397" spans="2:23" x14ac:dyDescent="0.55000000000000004">
      <c r="B397" s="194" t="s">
        <v>866</v>
      </c>
      <c r="C397" s="25"/>
      <c r="D397" s="128"/>
      <c r="E397" s="6"/>
      <c r="F397" s="101"/>
      <c r="G397" s="101"/>
      <c r="H397" s="137"/>
      <c r="I397" s="6"/>
      <c r="J397" s="100">
        <f t="shared" si="36"/>
        <v>0</v>
      </c>
      <c r="K397" s="100">
        <f t="shared" si="37"/>
        <v>0</v>
      </c>
      <c r="L397" s="88">
        <f>K397*係数!$H$30</f>
        <v>0</v>
      </c>
      <c r="M397" s="25"/>
      <c r="N397" s="6"/>
      <c r="O397" s="6"/>
      <c r="P397" s="137"/>
      <c r="Q397" s="6"/>
      <c r="R397" s="533">
        <f t="shared" si="32"/>
        <v>0</v>
      </c>
      <c r="S397" s="12">
        <f t="shared" si="33"/>
        <v>0</v>
      </c>
      <c r="T397" s="88">
        <f>S397*係数!$H$30</f>
        <v>0</v>
      </c>
      <c r="U397" s="12">
        <f t="shared" si="34"/>
        <v>0</v>
      </c>
      <c r="V397" s="545">
        <f>U397*係数!$C$30*0.0000258</f>
        <v>0</v>
      </c>
      <c r="W397" s="543">
        <f t="shared" si="35"/>
        <v>0</v>
      </c>
    </row>
    <row r="398" spans="2:23" x14ac:dyDescent="0.55000000000000004">
      <c r="B398" s="194" t="s">
        <v>867</v>
      </c>
      <c r="C398" s="25"/>
      <c r="D398" s="128"/>
      <c r="E398" s="6"/>
      <c r="F398" s="101"/>
      <c r="G398" s="101"/>
      <c r="H398" s="137"/>
      <c r="I398" s="6"/>
      <c r="J398" s="100">
        <f t="shared" si="36"/>
        <v>0</v>
      </c>
      <c r="K398" s="100">
        <f t="shared" si="37"/>
        <v>0</v>
      </c>
      <c r="L398" s="88">
        <f>K398*係数!$H$30</f>
        <v>0</v>
      </c>
      <c r="M398" s="25"/>
      <c r="N398" s="6"/>
      <c r="O398" s="6"/>
      <c r="P398" s="137"/>
      <c r="Q398" s="6"/>
      <c r="R398" s="533">
        <f t="shared" si="32"/>
        <v>0</v>
      </c>
      <c r="S398" s="12">
        <f t="shared" si="33"/>
        <v>0</v>
      </c>
      <c r="T398" s="88">
        <f>S398*係数!$H$30</f>
        <v>0</v>
      </c>
      <c r="U398" s="12">
        <f t="shared" si="34"/>
        <v>0</v>
      </c>
      <c r="V398" s="545">
        <f>U398*係数!$C$30*0.0000258</f>
        <v>0</v>
      </c>
      <c r="W398" s="543">
        <f t="shared" si="35"/>
        <v>0</v>
      </c>
    </row>
    <row r="399" spans="2:23" x14ac:dyDescent="0.55000000000000004">
      <c r="B399" s="194" t="s">
        <v>868</v>
      </c>
      <c r="C399" s="25"/>
      <c r="D399" s="128"/>
      <c r="E399" s="6"/>
      <c r="F399" s="101"/>
      <c r="G399" s="101"/>
      <c r="H399" s="137"/>
      <c r="I399" s="6"/>
      <c r="J399" s="100">
        <f t="shared" si="36"/>
        <v>0</v>
      </c>
      <c r="K399" s="100">
        <f t="shared" si="37"/>
        <v>0</v>
      </c>
      <c r="L399" s="88">
        <f>K399*係数!$H$30</f>
        <v>0</v>
      </c>
      <c r="M399" s="25"/>
      <c r="N399" s="6"/>
      <c r="O399" s="6"/>
      <c r="P399" s="137"/>
      <c r="Q399" s="6"/>
      <c r="R399" s="533">
        <f t="shared" si="32"/>
        <v>0</v>
      </c>
      <c r="S399" s="12">
        <f t="shared" si="33"/>
        <v>0</v>
      </c>
      <c r="T399" s="88">
        <f>S399*係数!$H$30</f>
        <v>0</v>
      </c>
      <c r="U399" s="12">
        <f t="shared" si="34"/>
        <v>0</v>
      </c>
      <c r="V399" s="545">
        <f>U399*係数!$C$30*0.0000258</f>
        <v>0</v>
      </c>
      <c r="W399" s="543">
        <f t="shared" si="35"/>
        <v>0</v>
      </c>
    </row>
    <row r="400" spans="2:23" x14ac:dyDescent="0.55000000000000004">
      <c r="B400" s="194" t="s">
        <v>869</v>
      </c>
      <c r="C400" s="25"/>
      <c r="D400" s="128"/>
      <c r="E400" s="6"/>
      <c r="F400" s="101"/>
      <c r="G400" s="101"/>
      <c r="H400" s="137"/>
      <c r="I400" s="6"/>
      <c r="J400" s="100">
        <f t="shared" si="36"/>
        <v>0</v>
      </c>
      <c r="K400" s="100">
        <f t="shared" si="37"/>
        <v>0</v>
      </c>
      <c r="L400" s="88">
        <f>K400*係数!$H$30</f>
        <v>0</v>
      </c>
      <c r="M400" s="25"/>
      <c r="N400" s="6"/>
      <c r="O400" s="6"/>
      <c r="P400" s="137"/>
      <c r="Q400" s="6"/>
      <c r="R400" s="533">
        <f t="shared" si="32"/>
        <v>0</v>
      </c>
      <c r="S400" s="12">
        <f t="shared" si="33"/>
        <v>0</v>
      </c>
      <c r="T400" s="88">
        <f>S400*係数!$H$30</f>
        <v>0</v>
      </c>
      <c r="U400" s="12">
        <f t="shared" si="34"/>
        <v>0</v>
      </c>
      <c r="V400" s="545">
        <f>U400*係数!$C$30*0.0000258</f>
        <v>0</v>
      </c>
      <c r="W400" s="543">
        <f t="shared" si="35"/>
        <v>0</v>
      </c>
    </row>
    <row r="401" spans="2:23" x14ac:dyDescent="0.55000000000000004">
      <c r="B401" s="194" t="s">
        <v>870</v>
      </c>
      <c r="C401" s="25"/>
      <c r="D401" s="128"/>
      <c r="E401" s="6"/>
      <c r="F401" s="101"/>
      <c r="G401" s="101"/>
      <c r="H401" s="137"/>
      <c r="I401" s="6"/>
      <c r="J401" s="100">
        <f t="shared" si="36"/>
        <v>0</v>
      </c>
      <c r="K401" s="100">
        <f t="shared" si="37"/>
        <v>0</v>
      </c>
      <c r="L401" s="88">
        <f>K401*係数!$H$30</f>
        <v>0</v>
      </c>
      <c r="M401" s="25"/>
      <c r="N401" s="6"/>
      <c r="O401" s="6"/>
      <c r="P401" s="137"/>
      <c r="Q401" s="6"/>
      <c r="R401" s="533">
        <f t="shared" si="32"/>
        <v>0</v>
      </c>
      <c r="S401" s="12">
        <f t="shared" si="33"/>
        <v>0</v>
      </c>
      <c r="T401" s="88">
        <f>S401*係数!$H$30</f>
        <v>0</v>
      </c>
      <c r="U401" s="12">
        <f t="shared" si="34"/>
        <v>0</v>
      </c>
      <c r="V401" s="545">
        <f>U401*係数!$C$30*0.0000258</f>
        <v>0</v>
      </c>
      <c r="W401" s="543">
        <f t="shared" si="35"/>
        <v>0</v>
      </c>
    </row>
    <row r="402" spans="2:23" x14ac:dyDescent="0.55000000000000004">
      <c r="B402" s="194" t="s">
        <v>871</v>
      </c>
      <c r="C402" s="25"/>
      <c r="D402" s="128"/>
      <c r="E402" s="6"/>
      <c r="F402" s="101"/>
      <c r="G402" s="101"/>
      <c r="H402" s="137"/>
      <c r="I402" s="6"/>
      <c r="J402" s="100">
        <f t="shared" si="36"/>
        <v>0</v>
      </c>
      <c r="K402" s="100">
        <f t="shared" si="37"/>
        <v>0</v>
      </c>
      <c r="L402" s="88">
        <f>K402*係数!$H$30</f>
        <v>0</v>
      </c>
      <c r="M402" s="25"/>
      <c r="N402" s="6"/>
      <c r="O402" s="6"/>
      <c r="P402" s="137"/>
      <c r="Q402" s="6"/>
      <c r="R402" s="533">
        <f t="shared" ref="R402:R417" si="38">IF(P402="",J402,J402*Q402/100)</f>
        <v>0</v>
      </c>
      <c r="S402" s="12">
        <f t="shared" ref="S402:S417" si="39">N402*O402*R402/1000</f>
        <v>0</v>
      </c>
      <c r="T402" s="88">
        <f>S402*係数!$H$30</f>
        <v>0</v>
      </c>
      <c r="U402" s="12">
        <f t="shared" ref="U402:U417" si="40">K402-S402</f>
        <v>0</v>
      </c>
      <c r="V402" s="545">
        <f>U402*係数!$C$30*0.0000258</f>
        <v>0</v>
      </c>
      <c r="W402" s="543">
        <f t="shared" ref="W402:W417" si="41">L402-T402</f>
        <v>0</v>
      </c>
    </row>
    <row r="403" spans="2:23" x14ac:dyDescent="0.55000000000000004">
      <c r="B403" s="194" t="s">
        <v>872</v>
      </c>
      <c r="C403" s="25"/>
      <c r="D403" s="128"/>
      <c r="E403" s="6"/>
      <c r="F403" s="101"/>
      <c r="G403" s="101"/>
      <c r="H403" s="137"/>
      <c r="I403" s="6"/>
      <c r="J403" s="100">
        <f t="shared" si="36"/>
        <v>0</v>
      </c>
      <c r="K403" s="100">
        <f t="shared" si="37"/>
        <v>0</v>
      </c>
      <c r="L403" s="88">
        <f>K403*係数!$H$30</f>
        <v>0</v>
      </c>
      <c r="M403" s="25"/>
      <c r="N403" s="6"/>
      <c r="O403" s="6"/>
      <c r="P403" s="137"/>
      <c r="Q403" s="6"/>
      <c r="R403" s="533">
        <f t="shared" si="38"/>
        <v>0</v>
      </c>
      <c r="S403" s="12">
        <f t="shared" si="39"/>
        <v>0</v>
      </c>
      <c r="T403" s="88">
        <f>S403*係数!$H$30</f>
        <v>0</v>
      </c>
      <c r="U403" s="12">
        <f t="shared" si="40"/>
        <v>0</v>
      </c>
      <c r="V403" s="545">
        <f>U403*係数!$C$30*0.0000258</f>
        <v>0</v>
      </c>
      <c r="W403" s="543">
        <f t="shared" si="41"/>
        <v>0</v>
      </c>
    </row>
    <row r="404" spans="2:23" x14ac:dyDescent="0.55000000000000004">
      <c r="B404" s="194" t="s">
        <v>873</v>
      </c>
      <c r="C404" s="25"/>
      <c r="D404" s="128"/>
      <c r="E404" s="6"/>
      <c r="F404" s="101"/>
      <c r="G404" s="101"/>
      <c r="H404" s="137"/>
      <c r="I404" s="6"/>
      <c r="J404" s="100">
        <f t="shared" si="36"/>
        <v>0</v>
      </c>
      <c r="K404" s="100">
        <f t="shared" si="37"/>
        <v>0</v>
      </c>
      <c r="L404" s="88">
        <f>K404*係数!$H$30</f>
        <v>0</v>
      </c>
      <c r="M404" s="25"/>
      <c r="N404" s="6"/>
      <c r="O404" s="6"/>
      <c r="P404" s="137"/>
      <c r="Q404" s="6"/>
      <c r="R404" s="533">
        <f t="shared" si="38"/>
        <v>0</v>
      </c>
      <c r="S404" s="12">
        <f t="shared" si="39"/>
        <v>0</v>
      </c>
      <c r="T404" s="88">
        <f>S404*係数!$H$30</f>
        <v>0</v>
      </c>
      <c r="U404" s="12">
        <f t="shared" si="40"/>
        <v>0</v>
      </c>
      <c r="V404" s="545">
        <f>U404*係数!$C$30*0.0000258</f>
        <v>0</v>
      </c>
      <c r="W404" s="543">
        <f t="shared" si="41"/>
        <v>0</v>
      </c>
    </row>
    <row r="405" spans="2:23" x14ac:dyDescent="0.55000000000000004">
      <c r="B405" s="194" t="s">
        <v>874</v>
      </c>
      <c r="C405" s="25"/>
      <c r="D405" s="128"/>
      <c r="E405" s="6"/>
      <c r="F405" s="101"/>
      <c r="G405" s="101"/>
      <c r="H405" s="137"/>
      <c r="I405" s="6"/>
      <c r="J405" s="100">
        <f t="shared" si="36"/>
        <v>0</v>
      </c>
      <c r="K405" s="100">
        <f t="shared" si="37"/>
        <v>0</v>
      </c>
      <c r="L405" s="88">
        <f>K405*係数!$H$30</f>
        <v>0</v>
      </c>
      <c r="M405" s="25"/>
      <c r="N405" s="6"/>
      <c r="O405" s="6"/>
      <c r="P405" s="137"/>
      <c r="Q405" s="6"/>
      <c r="R405" s="533">
        <f t="shared" si="38"/>
        <v>0</v>
      </c>
      <c r="S405" s="12">
        <f t="shared" si="39"/>
        <v>0</v>
      </c>
      <c r="T405" s="88">
        <f>S405*係数!$H$30</f>
        <v>0</v>
      </c>
      <c r="U405" s="12">
        <f t="shared" si="40"/>
        <v>0</v>
      </c>
      <c r="V405" s="545">
        <f>U405*係数!$C$30*0.0000258</f>
        <v>0</v>
      </c>
      <c r="W405" s="543">
        <f t="shared" si="41"/>
        <v>0</v>
      </c>
    </row>
    <row r="406" spans="2:23" x14ac:dyDescent="0.55000000000000004">
      <c r="B406" s="194" t="s">
        <v>875</v>
      </c>
      <c r="C406" s="25"/>
      <c r="D406" s="128"/>
      <c r="E406" s="6"/>
      <c r="F406" s="101"/>
      <c r="G406" s="101"/>
      <c r="H406" s="137"/>
      <c r="I406" s="6"/>
      <c r="J406" s="100">
        <f t="shared" si="36"/>
        <v>0</v>
      </c>
      <c r="K406" s="100">
        <f t="shared" si="37"/>
        <v>0</v>
      </c>
      <c r="L406" s="88">
        <f>K406*係数!$H$30</f>
        <v>0</v>
      </c>
      <c r="M406" s="25"/>
      <c r="N406" s="6"/>
      <c r="O406" s="6"/>
      <c r="P406" s="137"/>
      <c r="Q406" s="6"/>
      <c r="R406" s="533">
        <f t="shared" si="38"/>
        <v>0</v>
      </c>
      <c r="S406" s="12">
        <f t="shared" si="39"/>
        <v>0</v>
      </c>
      <c r="T406" s="88">
        <f>S406*係数!$H$30</f>
        <v>0</v>
      </c>
      <c r="U406" s="12">
        <f t="shared" si="40"/>
        <v>0</v>
      </c>
      <c r="V406" s="545">
        <f>U406*係数!$C$30*0.0000258</f>
        <v>0</v>
      </c>
      <c r="W406" s="543">
        <f t="shared" si="41"/>
        <v>0</v>
      </c>
    </row>
    <row r="407" spans="2:23" x14ac:dyDescent="0.55000000000000004">
      <c r="B407" s="194" t="s">
        <v>876</v>
      </c>
      <c r="C407" s="25"/>
      <c r="D407" s="128"/>
      <c r="E407" s="6"/>
      <c r="F407" s="101"/>
      <c r="G407" s="101"/>
      <c r="H407" s="137"/>
      <c r="I407" s="6"/>
      <c r="J407" s="100">
        <f t="shared" si="36"/>
        <v>0</v>
      </c>
      <c r="K407" s="100">
        <f t="shared" si="37"/>
        <v>0</v>
      </c>
      <c r="L407" s="88">
        <f>K407*係数!$H$30</f>
        <v>0</v>
      </c>
      <c r="M407" s="25"/>
      <c r="N407" s="6"/>
      <c r="O407" s="6"/>
      <c r="P407" s="137"/>
      <c r="Q407" s="6"/>
      <c r="R407" s="533">
        <f t="shared" si="38"/>
        <v>0</v>
      </c>
      <c r="S407" s="12">
        <f t="shared" si="39"/>
        <v>0</v>
      </c>
      <c r="T407" s="88">
        <f>S407*係数!$H$30</f>
        <v>0</v>
      </c>
      <c r="U407" s="12">
        <f t="shared" si="40"/>
        <v>0</v>
      </c>
      <c r="V407" s="545">
        <f>U407*係数!$C$30*0.0000258</f>
        <v>0</v>
      </c>
      <c r="W407" s="543">
        <f t="shared" si="41"/>
        <v>0</v>
      </c>
    </row>
    <row r="408" spans="2:23" x14ac:dyDescent="0.55000000000000004">
      <c r="B408" s="194" t="s">
        <v>877</v>
      </c>
      <c r="C408" s="25"/>
      <c r="D408" s="128"/>
      <c r="E408" s="6"/>
      <c r="F408" s="101"/>
      <c r="G408" s="101"/>
      <c r="H408" s="137"/>
      <c r="I408" s="6"/>
      <c r="J408" s="100">
        <f t="shared" si="36"/>
        <v>0</v>
      </c>
      <c r="K408" s="100">
        <f t="shared" si="37"/>
        <v>0</v>
      </c>
      <c r="L408" s="88">
        <f>K408*係数!$H$30</f>
        <v>0</v>
      </c>
      <c r="M408" s="25"/>
      <c r="N408" s="6"/>
      <c r="O408" s="6"/>
      <c r="P408" s="137"/>
      <c r="Q408" s="6"/>
      <c r="R408" s="533">
        <f t="shared" si="38"/>
        <v>0</v>
      </c>
      <c r="S408" s="12">
        <f t="shared" si="39"/>
        <v>0</v>
      </c>
      <c r="T408" s="88">
        <f>S408*係数!$H$30</f>
        <v>0</v>
      </c>
      <c r="U408" s="12">
        <f t="shared" si="40"/>
        <v>0</v>
      </c>
      <c r="V408" s="545">
        <f>U408*係数!$C$30*0.0000258</f>
        <v>0</v>
      </c>
      <c r="W408" s="543">
        <f t="shared" si="41"/>
        <v>0</v>
      </c>
    </row>
    <row r="409" spans="2:23" x14ac:dyDescent="0.55000000000000004">
      <c r="B409" s="194" t="s">
        <v>878</v>
      </c>
      <c r="C409" s="25"/>
      <c r="D409" s="128"/>
      <c r="E409" s="6"/>
      <c r="F409" s="101"/>
      <c r="G409" s="101"/>
      <c r="H409" s="137"/>
      <c r="I409" s="6"/>
      <c r="J409" s="100">
        <f t="shared" si="36"/>
        <v>0</v>
      </c>
      <c r="K409" s="100">
        <f t="shared" si="37"/>
        <v>0</v>
      </c>
      <c r="L409" s="88">
        <f>K409*係数!$H$30</f>
        <v>0</v>
      </c>
      <c r="M409" s="25"/>
      <c r="N409" s="6"/>
      <c r="O409" s="6"/>
      <c r="P409" s="137"/>
      <c r="Q409" s="6"/>
      <c r="R409" s="533">
        <f t="shared" si="38"/>
        <v>0</v>
      </c>
      <c r="S409" s="12">
        <f t="shared" si="39"/>
        <v>0</v>
      </c>
      <c r="T409" s="88">
        <f>S409*係数!$H$30</f>
        <v>0</v>
      </c>
      <c r="U409" s="12">
        <f t="shared" si="40"/>
        <v>0</v>
      </c>
      <c r="V409" s="545">
        <f>U409*係数!$C$30*0.0000258</f>
        <v>0</v>
      </c>
      <c r="W409" s="543">
        <f t="shared" si="41"/>
        <v>0</v>
      </c>
    </row>
    <row r="410" spans="2:23" x14ac:dyDescent="0.55000000000000004">
      <c r="B410" s="194" t="s">
        <v>879</v>
      </c>
      <c r="C410" s="25"/>
      <c r="D410" s="128"/>
      <c r="E410" s="6"/>
      <c r="F410" s="101"/>
      <c r="G410" s="101"/>
      <c r="H410" s="137"/>
      <c r="I410" s="6"/>
      <c r="J410" s="100">
        <f t="shared" si="36"/>
        <v>0</v>
      </c>
      <c r="K410" s="100">
        <f t="shared" si="37"/>
        <v>0</v>
      </c>
      <c r="L410" s="88">
        <f>K410*係数!$H$30</f>
        <v>0</v>
      </c>
      <c r="M410" s="25"/>
      <c r="N410" s="6"/>
      <c r="O410" s="6"/>
      <c r="P410" s="137"/>
      <c r="Q410" s="6"/>
      <c r="R410" s="533">
        <f t="shared" si="38"/>
        <v>0</v>
      </c>
      <c r="S410" s="12">
        <f t="shared" si="39"/>
        <v>0</v>
      </c>
      <c r="T410" s="88">
        <f>S410*係数!$H$30</f>
        <v>0</v>
      </c>
      <c r="U410" s="12">
        <f t="shared" si="40"/>
        <v>0</v>
      </c>
      <c r="V410" s="545">
        <f>U410*係数!$C$30*0.0000258</f>
        <v>0</v>
      </c>
      <c r="W410" s="543">
        <f t="shared" si="41"/>
        <v>0</v>
      </c>
    </row>
    <row r="411" spans="2:23" x14ac:dyDescent="0.55000000000000004">
      <c r="B411" s="194" t="s">
        <v>880</v>
      </c>
      <c r="C411" s="25"/>
      <c r="D411" s="128"/>
      <c r="E411" s="6"/>
      <c r="F411" s="101"/>
      <c r="G411" s="101"/>
      <c r="H411" s="137"/>
      <c r="I411" s="6"/>
      <c r="J411" s="100">
        <f t="shared" si="36"/>
        <v>0</v>
      </c>
      <c r="K411" s="100">
        <f t="shared" si="37"/>
        <v>0</v>
      </c>
      <c r="L411" s="88">
        <f>K411*係数!$H$30</f>
        <v>0</v>
      </c>
      <c r="M411" s="25"/>
      <c r="N411" s="6"/>
      <c r="O411" s="6"/>
      <c r="P411" s="137"/>
      <c r="Q411" s="6"/>
      <c r="R411" s="533">
        <f t="shared" si="38"/>
        <v>0</v>
      </c>
      <c r="S411" s="12">
        <f t="shared" si="39"/>
        <v>0</v>
      </c>
      <c r="T411" s="88">
        <f>S411*係数!$H$30</f>
        <v>0</v>
      </c>
      <c r="U411" s="12">
        <f t="shared" si="40"/>
        <v>0</v>
      </c>
      <c r="V411" s="545">
        <f>U411*係数!$C$30*0.0000258</f>
        <v>0</v>
      </c>
      <c r="W411" s="543">
        <f t="shared" si="41"/>
        <v>0</v>
      </c>
    </row>
    <row r="412" spans="2:23" x14ac:dyDescent="0.55000000000000004">
      <c r="B412" s="194" t="s">
        <v>881</v>
      </c>
      <c r="C412" s="25"/>
      <c r="D412" s="128"/>
      <c r="E412" s="6"/>
      <c r="F412" s="101"/>
      <c r="G412" s="101"/>
      <c r="H412" s="137"/>
      <c r="I412" s="6"/>
      <c r="J412" s="100">
        <f t="shared" si="36"/>
        <v>0</v>
      </c>
      <c r="K412" s="100">
        <f t="shared" si="37"/>
        <v>0</v>
      </c>
      <c r="L412" s="88">
        <f>K412*係数!$H$30</f>
        <v>0</v>
      </c>
      <c r="M412" s="25"/>
      <c r="N412" s="6"/>
      <c r="O412" s="6"/>
      <c r="P412" s="137"/>
      <c r="Q412" s="6"/>
      <c r="R412" s="533">
        <f t="shared" si="38"/>
        <v>0</v>
      </c>
      <c r="S412" s="12">
        <f t="shared" si="39"/>
        <v>0</v>
      </c>
      <c r="T412" s="88">
        <f>S412*係数!$H$30</f>
        <v>0</v>
      </c>
      <c r="U412" s="12">
        <f t="shared" si="40"/>
        <v>0</v>
      </c>
      <c r="V412" s="545">
        <f>U412*係数!$C$30*0.0000258</f>
        <v>0</v>
      </c>
      <c r="W412" s="543">
        <f t="shared" si="41"/>
        <v>0</v>
      </c>
    </row>
    <row r="413" spans="2:23" x14ac:dyDescent="0.55000000000000004">
      <c r="B413" s="194" t="s">
        <v>882</v>
      </c>
      <c r="C413" s="25"/>
      <c r="D413" s="128"/>
      <c r="E413" s="6"/>
      <c r="F413" s="101"/>
      <c r="G413" s="101"/>
      <c r="H413" s="137"/>
      <c r="I413" s="6"/>
      <c r="J413" s="100">
        <f t="shared" si="36"/>
        <v>0</v>
      </c>
      <c r="K413" s="100">
        <f t="shared" si="37"/>
        <v>0</v>
      </c>
      <c r="L413" s="88">
        <f>K413*係数!$H$30</f>
        <v>0</v>
      </c>
      <c r="M413" s="25"/>
      <c r="N413" s="6"/>
      <c r="O413" s="6"/>
      <c r="P413" s="137"/>
      <c r="Q413" s="6"/>
      <c r="R413" s="533">
        <f t="shared" si="38"/>
        <v>0</v>
      </c>
      <c r="S413" s="12">
        <f t="shared" si="39"/>
        <v>0</v>
      </c>
      <c r="T413" s="88">
        <f>S413*係数!$H$30</f>
        <v>0</v>
      </c>
      <c r="U413" s="12">
        <f t="shared" si="40"/>
        <v>0</v>
      </c>
      <c r="V413" s="545">
        <f>U413*係数!$C$30*0.0000258</f>
        <v>0</v>
      </c>
      <c r="W413" s="543">
        <f t="shared" si="41"/>
        <v>0</v>
      </c>
    </row>
    <row r="414" spans="2:23" x14ac:dyDescent="0.55000000000000004">
      <c r="B414" s="194" t="s">
        <v>883</v>
      </c>
      <c r="C414" s="25"/>
      <c r="D414" s="128"/>
      <c r="E414" s="6"/>
      <c r="F414" s="101"/>
      <c r="G414" s="101"/>
      <c r="H414" s="137"/>
      <c r="I414" s="6"/>
      <c r="J414" s="100">
        <f t="shared" si="36"/>
        <v>0</v>
      </c>
      <c r="K414" s="100">
        <f t="shared" si="37"/>
        <v>0</v>
      </c>
      <c r="L414" s="88">
        <f>K414*係数!$H$30</f>
        <v>0</v>
      </c>
      <c r="M414" s="25"/>
      <c r="N414" s="6"/>
      <c r="O414" s="6"/>
      <c r="P414" s="137"/>
      <c r="Q414" s="6"/>
      <c r="R414" s="533">
        <f t="shared" si="38"/>
        <v>0</v>
      </c>
      <c r="S414" s="12">
        <f t="shared" si="39"/>
        <v>0</v>
      </c>
      <c r="T414" s="88">
        <f>S414*係数!$H$30</f>
        <v>0</v>
      </c>
      <c r="U414" s="12">
        <f t="shared" si="40"/>
        <v>0</v>
      </c>
      <c r="V414" s="545">
        <f>U414*係数!$C$30*0.0000258</f>
        <v>0</v>
      </c>
      <c r="W414" s="543">
        <f t="shared" si="41"/>
        <v>0</v>
      </c>
    </row>
    <row r="415" spans="2:23" x14ac:dyDescent="0.55000000000000004">
      <c r="B415" s="194" t="s">
        <v>884</v>
      </c>
      <c r="C415" s="25"/>
      <c r="D415" s="128"/>
      <c r="E415" s="6"/>
      <c r="F415" s="101"/>
      <c r="G415" s="101"/>
      <c r="H415" s="137"/>
      <c r="I415" s="6"/>
      <c r="J415" s="100">
        <f t="shared" si="36"/>
        <v>0</v>
      </c>
      <c r="K415" s="100">
        <f t="shared" si="37"/>
        <v>0</v>
      </c>
      <c r="L415" s="88">
        <f>K415*係数!$H$30</f>
        <v>0</v>
      </c>
      <c r="M415" s="25"/>
      <c r="N415" s="6"/>
      <c r="O415" s="6"/>
      <c r="P415" s="137"/>
      <c r="Q415" s="6"/>
      <c r="R415" s="533">
        <f t="shared" si="38"/>
        <v>0</v>
      </c>
      <c r="S415" s="12">
        <f t="shared" si="39"/>
        <v>0</v>
      </c>
      <c r="T415" s="88">
        <f>S415*係数!$H$30</f>
        <v>0</v>
      </c>
      <c r="U415" s="12">
        <f t="shared" si="40"/>
        <v>0</v>
      </c>
      <c r="V415" s="545">
        <f>U415*係数!$C$30*0.0000258</f>
        <v>0</v>
      </c>
      <c r="W415" s="543">
        <f t="shared" si="41"/>
        <v>0</v>
      </c>
    </row>
    <row r="416" spans="2:23" x14ac:dyDescent="0.55000000000000004">
      <c r="B416" s="194" t="s">
        <v>885</v>
      </c>
      <c r="C416" s="25"/>
      <c r="D416" s="128"/>
      <c r="E416" s="6"/>
      <c r="F416" s="101"/>
      <c r="G416" s="101"/>
      <c r="H416" s="137"/>
      <c r="I416" s="6"/>
      <c r="J416" s="100">
        <f t="shared" si="36"/>
        <v>0</v>
      </c>
      <c r="K416" s="100">
        <f t="shared" si="37"/>
        <v>0</v>
      </c>
      <c r="L416" s="88">
        <f>K416*係数!$H$30</f>
        <v>0</v>
      </c>
      <c r="M416" s="25"/>
      <c r="N416" s="6"/>
      <c r="O416" s="6"/>
      <c r="P416" s="137"/>
      <c r="Q416" s="6"/>
      <c r="R416" s="533">
        <f t="shared" si="38"/>
        <v>0</v>
      </c>
      <c r="S416" s="12">
        <f t="shared" si="39"/>
        <v>0</v>
      </c>
      <c r="T416" s="88">
        <f>S416*係数!$H$30</f>
        <v>0</v>
      </c>
      <c r="U416" s="12">
        <f t="shared" si="40"/>
        <v>0</v>
      </c>
      <c r="V416" s="545">
        <f>U416*係数!$C$30*0.0000258</f>
        <v>0</v>
      </c>
      <c r="W416" s="543">
        <f t="shared" si="41"/>
        <v>0</v>
      </c>
    </row>
    <row r="417" spans="2:23" x14ac:dyDescent="0.55000000000000004">
      <c r="B417" s="194" t="s">
        <v>886</v>
      </c>
      <c r="C417" s="25"/>
      <c r="D417" s="128"/>
      <c r="E417" s="6"/>
      <c r="F417" s="101"/>
      <c r="G417" s="101"/>
      <c r="H417" s="137"/>
      <c r="I417" s="6"/>
      <c r="J417" s="100">
        <f t="shared" si="36"/>
        <v>0</v>
      </c>
      <c r="K417" s="100">
        <f t="shared" si="37"/>
        <v>0</v>
      </c>
      <c r="L417" s="88">
        <f>K417*係数!$H$30</f>
        <v>0</v>
      </c>
      <c r="M417" s="25"/>
      <c r="N417" s="6"/>
      <c r="O417" s="6"/>
      <c r="P417" s="137"/>
      <c r="Q417" s="6"/>
      <c r="R417" s="533">
        <f t="shared" si="38"/>
        <v>0</v>
      </c>
      <c r="S417" s="12">
        <f t="shared" si="39"/>
        <v>0</v>
      </c>
      <c r="T417" s="88">
        <f>S417*係数!$H$30</f>
        <v>0</v>
      </c>
      <c r="U417" s="12">
        <f t="shared" si="40"/>
        <v>0</v>
      </c>
      <c r="V417" s="545">
        <f>U417*係数!$C$30*0.0000258</f>
        <v>0</v>
      </c>
      <c r="W417" s="543">
        <f t="shared" si="41"/>
        <v>0</v>
      </c>
    </row>
    <row r="418" spans="2:23" x14ac:dyDescent="0.55000000000000004">
      <c r="B418" s="194" t="s">
        <v>931</v>
      </c>
      <c r="C418" s="25"/>
      <c r="D418" s="128"/>
      <c r="E418" s="6"/>
      <c r="F418" s="101"/>
      <c r="G418" s="101"/>
      <c r="H418" s="137"/>
      <c r="I418" s="6"/>
      <c r="J418" s="100">
        <f t="shared" ref="J418:J481" si="42">IF(H418="",F418*G418,F418*G418*I418/100)</f>
        <v>0</v>
      </c>
      <c r="K418" s="100">
        <f t="shared" ref="K418:K481" si="43">D418*E418*J418/1000</f>
        <v>0</v>
      </c>
      <c r="L418" s="88">
        <f>K418*係数!$H$30</f>
        <v>0</v>
      </c>
      <c r="M418" s="25"/>
      <c r="N418" s="6"/>
      <c r="O418" s="6"/>
      <c r="P418" s="137"/>
      <c r="Q418" s="6"/>
      <c r="R418" s="533">
        <f t="shared" ref="R418:R481" si="44">IF(P418="",J418,J418*Q418/100)</f>
        <v>0</v>
      </c>
      <c r="S418" s="12">
        <f t="shared" ref="S418:S481" si="45">N418*O418*R418/1000</f>
        <v>0</v>
      </c>
      <c r="T418" s="88">
        <f>S418*係数!$H$30</f>
        <v>0</v>
      </c>
      <c r="U418" s="12">
        <f t="shared" ref="U418:U481" si="46">K418-S418</f>
        <v>0</v>
      </c>
      <c r="V418" s="545">
        <f>U418*係数!$C$30*0.0000258</f>
        <v>0</v>
      </c>
      <c r="W418" s="543">
        <f t="shared" ref="W418:W481" si="47">L418-T418</f>
        <v>0</v>
      </c>
    </row>
    <row r="419" spans="2:23" x14ac:dyDescent="0.55000000000000004">
      <c r="B419" s="194" t="s">
        <v>932</v>
      </c>
      <c r="C419" s="25"/>
      <c r="D419" s="128"/>
      <c r="E419" s="6"/>
      <c r="F419" s="101"/>
      <c r="G419" s="101"/>
      <c r="H419" s="137"/>
      <c r="I419" s="6"/>
      <c r="J419" s="100">
        <f t="shared" si="42"/>
        <v>0</v>
      </c>
      <c r="K419" s="100">
        <f t="shared" si="43"/>
        <v>0</v>
      </c>
      <c r="L419" s="88">
        <f>K419*係数!$H$30</f>
        <v>0</v>
      </c>
      <c r="M419" s="25"/>
      <c r="N419" s="6"/>
      <c r="O419" s="6"/>
      <c r="P419" s="137"/>
      <c r="Q419" s="6"/>
      <c r="R419" s="533">
        <f t="shared" si="44"/>
        <v>0</v>
      </c>
      <c r="S419" s="12">
        <f t="shared" si="45"/>
        <v>0</v>
      </c>
      <c r="T419" s="88">
        <f>S419*係数!$H$30</f>
        <v>0</v>
      </c>
      <c r="U419" s="12">
        <f t="shared" si="46"/>
        <v>0</v>
      </c>
      <c r="V419" s="545">
        <f>U419*係数!$C$30*0.0000258</f>
        <v>0</v>
      </c>
      <c r="W419" s="543">
        <f t="shared" si="47"/>
        <v>0</v>
      </c>
    </row>
    <row r="420" spans="2:23" x14ac:dyDescent="0.55000000000000004">
      <c r="B420" s="194" t="s">
        <v>933</v>
      </c>
      <c r="C420" s="25"/>
      <c r="D420" s="128"/>
      <c r="E420" s="6"/>
      <c r="F420" s="101"/>
      <c r="G420" s="101"/>
      <c r="H420" s="137"/>
      <c r="I420" s="6"/>
      <c r="J420" s="100">
        <f t="shared" si="42"/>
        <v>0</v>
      </c>
      <c r="K420" s="100">
        <f t="shared" si="43"/>
        <v>0</v>
      </c>
      <c r="L420" s="88">
        <f>K420*係数!$H$30</f>
        <v>0</v>
      </c>
      <c r="M420" s="25"/>
      <c r="N420" s="6"/>
      <c r="O420" s="6"/>
      <c r="P420" s="137"/>
      <c r="Q420" s="6"/>
      <c r="R420" s="533">
        <f t="shared" si="44"/>
        <v>0</v>
      </c>
      <c r="S420" s="12">
        <f t="shared" si="45"/>
        <v>0</v>
      </c>
      <c r="T420" s="88">
        <f>S420*係数!$H$30</f>
        <v>0</v>
      </c>
      <c r="U420" s="12">
        <f t="shared" si="46"/>
        <v>0</v>
      </c>
      <c r="V420" s="545">
        <f>U420*係数!$C$30*0.0000258</f>
        <v>0</v>
      </c>
      <c r="W420" s="543">
        <f t="shared" si="47"/>
        <v>0</v>
      </c>
    </row>
    <row r="421" spans="2:23" x14ac:dyDescent="0.55000000000000004">
      <c r="B421" s="194" t="s">
        <v>934</v>
      </c>
      <c r="C421" s="25"/>
      <c r="D421" s="128"/>
      <c r="E421" s="6"/>
      <c r="F421" s="101"/>
      <c r="G421" s="101"/>
      <c r="H421" s="137"/>
      <c r="I421" s="6"/>
      <c r="J421" s="100">
        <f t="shared" si="42"/>
        <v>0</v>
      </c>
      <c r="K421" s="100">
        <f t="shared" si="43"/>
        <v>0</v>
      </c>
      <c r="L421" s="88">
        <f>K421*係数!$H$30</f>
        <v>0</v>
      </c>
      <c r="M421" s="25"/>
      <c r="N421" s="6"/>
      <c r="O421" s="6"/>
      <c r="P421" s="137"/>
      <c r="Q421" s="6"/>
      <c r="R421" s="533">
        <f t="shared" si="44"/>
        <v>0</v>
      </c>
      <c r="S421" s="12">
        <f t="shared" si="45"/>
        <v>0</v>
      </c>
      <c r="T421" s="88">
        <f>S421*係数!$H$30</f>
        <v>0</v>
      </c>
      <c r="U421" s="12">
        <f t="shared" si="46"/>
        <v>0</v>
      </c>
      <c r="V421" s="545">
        <f>U421*係数!$C$30*0.0000258</f>
        <v>0</v>
      </c>
      <c r="W421" s="543">
        <f t="shared" si="47"/>
        <v>0</v>
      </c>
    </row>
    <row r="422" spans="2:23" x14ac:dyDescent="0.55000000000000004">
      <c r="B422" s="194" t="s">
        <v>935</v>
      </c>
      <c r="C422" s="25"/>
      <c r="D422" s="128"/>
      <c r="E422" s="6"/>
      <c r="F422" s="101"/>
      <c r="G422" s="101"/>
      <c r="H422" s="137"/>
      <c r="I422" s="6"/>
      <c r="J422" s="100">
        <f t="shared" si="42"/>
        <v>0</v>
      </c>
      <c r="K422" s="100">
        <f t="shared" si="43"/>
        <v>0</v>
      </c>
      <c r="L422" s="88">
        <f>K422*係数!$H$30</f>
        <v>0</v>
      </c>
      <c r="M422" s="25"/>
      <c r="N422" s="6"/>
      <c r="O422" s="6"/>
      <c r="P422" s="137"/>
      <c r="Q422" s="6"/>
      <c r="R422" s="533">
        <f t="shared" si="44"/>
        <v>0</v>
      </c>
      <c r="S422" s="12">
        <f t="shared" si="45"/>
        <v>0</v>
      </c>
      <c r="T422" s="88">
        <f>S422*係数!$H$30</f>
        <v>0</v>
      </c>
      <c r="U422" s="12">
        <f t="shared" si="46"/>
        <v>0</v>
      </c>
      <c r="V422" s="545">
        <f>U422*係数!$C$30*0.0000258</f>
        <v>0</v>
      </c>
      <c r="W422" s="543">
        <f t="shared" si="47"/>
        <v>0</v>
      </c>
    </row>
    <row r="423" spans="2:23" x14ac:dyDescent="0.55000000000000004">
      <c r="B423" s="194" t="s">
        <v>936</v>
      </c>
      <c r="C423" s="25"/>
      <c r="D423" s="128"/>
      <c r="E423" s="6"/>
      <c r="F423" s="101"/>
      <c r="G423" s="101"/>
      <c r="H423" s="137"/>
      <c r="I423" s="6"/>
      <c r="J423" s="100">
        <f t="shared" si="42"/>
        <v>0</v>
      </c>
      <c r="K423" s="100">
        <f t="shared" si="43"/>
        <v>0</v>
      </c>
      <c r="L423" s="88">
        <f>K423*係数!$H$30</f>
        <v>0</v>
      </c>
      <c r="M423" s="25"/>
      <c r="N423" s="6"/>
      <c r="O423" s="6"/>
      <c r="P423" s="137"/>
      <c r="Q423" s="6"/>
      <c r="R423" s="533">
        <f t="shared" si="44"/>
        <v>0</v>
      </c>
      <c r="S423" s="12">
        <f t="shared" si="45"/>
        <v>0</v>
      </c>
      <c r="T423" s="88">
        <f>S423*係数!$H$30</f>
        <v>0</v>
      </c>
      <c r="U423" s="12">
        <f t="shared" si="46"/>
        <v>0</v>
      </c>
      <c r="V423" s="545">
        <f>U423*係数!$C$30*0.0000258</f>
        <v>0</v>
      </c>
      <c r="W423" s="543">
        <f t="shared" si="47"/>
        <v>0</v>
      </c>
    </row>
    <row r="424" spans="2:23" x14ac:dyDescent="0.55000000000000004">
      <c r="B424" s="194" t="s">
        <v>937</v>
      </c>
      <c r="C424" s="25"/>
      <c r="D424" s="128"/>
      <c r="E424" s="6"/>
      <c r="F424" s="101"/>
      <c r="G424" s="101"/>
      <c r="H424" s="137"/>
      <c r="I424" s="6"/>
      <c r="J424" s="100">
        <f t="shared" si="42"/>
        <v>0</v>
      </c>
      <c r="K424" s="100">
        <f t="shared" si="43"/>
        <v>0</v>
      </c>
      <c r="L424" s="88">
        <f>K424*係数!$H$30</f>
        <v>0</v>
      </c>
      <c r="M424" s="25"/>
      <c r="N424" s="6"/>
      <c r="O424" s="6"/>
      <c r="P424" s="137"/>
      <c r="Q424" s="6"/>
      <c r="R424" s="533">
        <f t="shared" si="44"/>
        <v>0</v>
      </c>
      <c r="S424" s="12">
        <f t="shared" si="45"/>
        <v>0</v>
      </c>
      <c r="T424" s="88">
        <f>S424*係数!$H$30</f>
        <v>0</v>
      </c>
      <c r="U424" s="12">
        <f t="shared" si="46"/>
        <v>0</v>
      </c>
      <c r="V424" s="545">
        <f>U424*係数!$C$30*0.0000258</f>
        <v>0</v>
      </c>
      <c r="W424" s="543">
        <f t="shared" si="47"/>
        <v>0</v>
      </c>
    </row>
    <row r="425" spans="2:23" x14ac:dyDescent="0.55000000000000004">
      <c r="B425" s="194" t="s">
        <v>938</v>
      </c>
      <c r="C425" s="25"/>
      <c r="D425" s="128"/>
      <c r="E425" s="6"/>
      <c r="F425" s="101"/>
      <c r="G425" s="101"/>
      <c r="H425" s="137"/>
      <c r="I425" s="6"/>
      <c r="J425" s="100">
        <f t="shared" si="42"/>
        <v>0</v>
      </c>
      <c r="K425" s="100">
        <f t="shared" si="43"/>
        <v>0</v>
      </c>
      <c r="L425" s="88">
        <f>K425*係数!$H$30</f>
        <v>0</v>
      </c>
      <c r="M425" s="25"/>
      <c r="N425" s="6"/>
      <c r="O425" s="6"/>
      <c r="P425" s="137"/>
      <c r="Q425" s="6"/>
      <c r="R425" s="533">
        <f t="shared" si="44"/>
        <v>0</v>
      </c>
      <c r="S425" s="12">
        <f t="shared" si="45"/>
        <v>0</v>
      </c>
      <c r="T425" s="88">
        <f>S425*係数!$H$30</f>
        <v>0</v>
      </c>
      <c r="U425" s="12">
        <f t="shared" si="46"/>
        <v>0</v>
      </c>
      <c r="V425" s="545">
        <f>U425*係数!$C$30*0.0000258</f>
        <v>0</v>
      </c>
      <c r="W425" s="543">
        <f t="shared" si="47"/>
        <v>0</v>
      </c>
    </row>
    <row r="426" spans="2:23" x14ac:dyDescent="0.55000000000000004">
      <c r="B426" s="194" t="s">
        <v>939</v>
      </c>
      <c r="C426" s="25"/>
      <c r="D426" s="128"/>
      <c r="E426" s="6"/>
      <c r="F426" s="101"/>
      <c r="G426" s="101"/>
      <c r="H426" s="137"/>
      <c r="I426" s="6"/>
      <c r="J426" s="100">
        <f t="shared" si="42"/>
        <v>0</v>
      </c>
      <c r="K426" s="100">
        <f t="shared" si="43"/>
        <v>0</v>
      </c>
      <c r="L426" s="88">
        <f>K426*係数!$H$30</f>
        <v>0</v>
      </c>
      <c r="M426" s="25"/>
      <c r="N426" s="6"/>
      <c r="O426" s="6"/>
      <c r="P426" s="137"/>
      <c r="Q426" s="6"/>
      <c r="R426" s="533">
        <f t="shared" si="44"/>
        <v>0</v>
      </c>
      <c r="S426" s="12">
        <f t="shared" si="45"/>
        <v>0</v>
      </c>
      <c r="T426" s="88">
        <f>S426*係数!$H$30</f>
        <v>0</v>
      </c>
      <c r="U426" s="12">
        <f t="shared" si="46"/>
        <v>0</v>
      </c>
      <c r="V426" s="545">
        <f>U426*係数!$C$30*0.0000258</f>
        <v>0</v>
      </c>
      <c r="W426" s="543">
        <f t="shared" si="47"/>
        <v>0</v>
      </c>
    </row>
    <row r="427" spans="2:23" x14ac:dyDescent="0.55000000000000004">
      <c r="B427" s="194" t="s">
        <v>940</v>
      </c>
      <c r="C427" s="25"/>
      <c r="D427" s="128"/>
      <c r="E427" s="6"/>
      <c r="F427" s="101"/>
      <c r="G427" s="101"/>
      <c r="H427" s="137"/>
      <c r="I427" s="6"/>
      <c r="J427" s="100">
        <f t="shared" si="42"/>
        <v>0</v>
      </c>
      <c r="K427" s="100">
        <f t="shared" si="43"/>
        <v>0</v>
      </c>
      <c r="L427" s="88">
        <f>K427*係数!$H$30</f>
        <v>0</v>
      </c>
      <c r="M427" s="25"/>
      <c r="N427" s="6"/>
      <c r="O427" s="6"/>
      <c r="P427" s="137"/>
      <c r="Q427" s="6"/>
      <c r="R427" s="533">
        <f t="shared" si="44"/>
        <v>0</v>
      </c>
      <c r="S427" s="12">
        <f t="shared" si="45"/>
        <v>0</v>
      </c>
      <c r="T427" s="88">
        <f>S427*係数!$H$30</f>
        <v>0</v>
      </c>
      <c r="U427" s="12">
        <f t="shared" si="46"/>
        <v>0</v>
      </c>
      <c r="V427" s="545">
        <f>U427*係数!$C$30*0.0000258</f>
        <v>0</v>
      </c>
      <c r="W427" s="543">
        <f t="shared" si="47"/>
        <v>0</v>
      </c>
    </row>
    <row r="428" spans="2:23" x14ac:dyDescent="0.55000000000000004">
      <c r="B428" s="194" t="s">
        <v>941</v>
      </c>
      <c r="C428" s="25"/>
      <c r="D428" s="128"/>
      <c r="E428" s="6"/>
      <c r="F428" s="101"/>
      <c r="G428" s="101"/>
      <c r="H428" s="137"/>
      <c r="I428" s="6"/>
      <c r="J428" s="100">
        <f t="shared" si="42"/>
        <v>0</v>
      </c>
      <c r="K428" s="100">
        <f t="shared" si="43"/>
        <v>0</v>
      </c>
      <c r="L428" s="88">
        <f>K428*係数!$H$30</f>
        <v>0</v>
      </c>
      <c r="M428" s="25"/>
      <c r="N428" s="6"/>
      <c r="O428" s="6"/>
      <c r="P428" s="137"/>
      <c r="Q428" s="6"/>
      <c r="R428" s="533">
        <f t="shared" si="44"/>
        <v>0</v>
      </c>
      <c r="S428" s="12">
        <f t="shared" si="45"/>
        <v>0</v>
      </c>
      <c r="T428" s="88">
        <f>S428*係数!$H$30</f>
        <v>0</v>
      </c>
      <c r="U428" s="12">
        <f t="shared" si="46"/>
        <v>0</v>
      </c>
      <c r="V428" s="545">
        <f>U428*係数!$C$30*0.0000258</f>
        <v>0</v>
      </c>
      <c r="W428" s="543">
        <f t="shared" si="47"/>
        <v>0</v>
      </c>
    </row>
    <row r="429" spans="2:23" x14ac:dyDescent="0.55000000000000004">
      <c r="B429" s="194" t="s">
        <v>942</v>
      </c>
      <c r="C429" s="25"/>
      <c r="D429" s="128"/>
      <c r="E429" s="6"/>
      <c r="F429" s="101"/>
      <c r="G429" s="101"/>
      <c r="H429" s="137"/>
      <c r="I429" s="6"/>
      <c r="J429" s="100">
        <f t="shared" si="42"/>
        <v>0</v>
      </c>
      <c r="K429" s="100">
        <f t="shared" si="43"/>
        <v>0</v>
      </c>
      <c r="L429" s="88">
        <f>K429*係数!$H$30</f>
        <v>0</v>
      </c>
      <c r="M429" s="25"/>
      <c r="N429" s="6"/>
      <c r="O429" s="6"/>
      <c r="P429" s="137"/>
      <c r="Q429" s="6"/>
      <c r="R429" s="533">
        <f t="shared" si="44"/>
        <v>0</v>
      </c>
      <c r="S429" s="12">
        <f t="shared" si="45"/>
        <v>0</v>
      </c>
      <c r="T429" s="88">
        <f>S429*係数!$H$30</f>
        <v>0</v>
      </c>
      <c r="U429" s="12">
        <f t="shared" si="46"/>
        <v>0</v>
      </c>
      <c r="V429" s="545">
        <f>U429*係数!$C$30*0.0000258</f>
        <v>0</v>
      </c>
      <c r="W429" s="543">
        <f t="shared" si="47"/>
        <v>0</v>
      </c>
    </row>
    <row r="430" spans="2:23" x14ac:dyDescent="0.55000000000000004">
      <c r="B430" s="194" t="s">
        <v>943</v>
      </c>
      <c r="C430" s="25"/>
      <c r="D430" s="128"/>
      <c r="E430" s="6"/>
      <c r="F430" s="101"/>
      <c r="G430" s="101"/>
      <c r="H430" s="137"/>
      <c r="I430" s="6"/>
      <c r="J430" s="100">
        <f t="shared" si="42"/>
        <v>0</v>
      </c>
      <c r="K430" s="100">
        <f t="shared" si="43"/>
        <v>0</v>
      </c>
      <c r="L430" s="88">
        <f>K430*係数!$H$30</f>
        <v>0</v>
      </c>
      <c r="M430" s="25"/>
      <c r="N430" s="6"/>
      <c r="O430" s="6"/>
      <c r="P430" s="137"/>
      <c r="Q430" s="6"/>
      <c r="R430" s="533">
        <f t="shared" si="44"/>
        <v>0</v>
      </c>
      <c r="S430" s="12">
        <f t="shared" si="45"/>
        <v>0</v>
      </c>
      <c r="T430" s="88">
        <f>S430*係数!$H$30</f>
        <v>0</v>
      </c>
      <c r="U430" s="12">
        <f t="shared" si="46"/>
        <v>0</v>
      </c>
      <c r="V430" s="545">
        <f>U430*係数!$C$30*0.0000258</f>
        <v>0</v>
      </c>
      <c r="W430" s="543">
        <f t="shared" si="47"/>
        <v>0</v>
      </c>
    </row>
    <row r="431" spans="2:23" x14ac:dyDescent="0.55000000000000004">
      <c r="B431" s="194" t="s">
        <v>944</v>
      </c>
      <c r="C431" s="25"/>
      <c r="D431" s="128"/>
      <c r="E431" s="6"/>
      <c r="F431" s="101"/>
      <c r="G431" s="101"/>
      <c r="H431" s="137"/>
      <c r="I431" s="6"/>
      <c r="J431" s="100">
        <f t="shared" si="42"/>
        <v>0</v>
      </c>
      <c r="K431" s="100">
        <f t="shared" si="43"/>
        <v>0</v>
      </c>
      <c r="L431" s="88">
        <f>K431*係数!$H$30</f>
        <v>0</v>
      </c>
      <c r="M431" s="25"/>
      <c r="N431" s="6"/>
      <c r="O431" s="6"/>
      <c r="P431" s="137"/>
      <c r="Q431" s="6"/>
      <c r="R431" s="533">
        <f t="shared" si="44"/>
        <v>0</v>
      </c>
      <c r="S431" s="12">
        <f t="shared" si="45"/>
        <v>0</v>
      </c>
      <c r="T431" s="88">
        <f>S431*係数!$H$30</f>
        <v>0</v>
      </c>
      <c r="U431" s="12">
        <f t="shared" si="46"/>
        <v>0</v>
      </c>
      <c r="V431" s="545">
        <f>U431*係数!$C$30*0.0000258</f>
        <v>0</v>
      </c>
      <c r="W431" s="543">
        <f t="shared" si="47"/>
        <v>0</v>
      </c>
    </row>
    <row r="432" spans="2:23" x14ac:dyDescent="0.55000000000000004">
      <c r="B432" s="194" t="s">
        <v>945</v>
      </c>
      <c r="C432" s="25"/>
      <c r="D432" s="128"/>
      <c r="E432" s="6"/>
      <c r="F432" s="101"/>
      <c r="G432" s="101"/>
      <c r="H432" s="137"/>
      <c r="I432" s="6"/>
      <c r="J432" s="100">
        <f t="shared" si="42"/>
        <v>0</v>
      </c>
      <c r="K432" s="100">
        <f t="shared" si="43"/>
        <v>0</v>
      </c>
      <c r="L432" s="88">
        <f>K432*係数!$H$30</f>
        <v>0</v>
      </c>
      <c r="M432" s="25"/>
      <c r="N432" s="6"/>
      <c r="O432" s="6"/>
      <c r="P432" s="137"/>
      <c r="Q432" s="6"/>
      <c r="R432" s="533">
        <f t="shared" si="44"/>
        <v>0</v>
      </c>
      <c r="S432" s="12">
        <f t="shared" si="45"/>
        <v>0</v>
      </c>
      <c r="T432" s="88">
        <f>S432*係数!$H$30</f>
        <v>0</v>
      </c>
      <c r="U432" s="12">
        <f t="shared" si="46"/>
        <v>0</v>
      </c>
      <c r="V432" s="545">
        <f>U432*係数!$C$30*0.0000258</f>
        <v>0</v>
      </c>
      <c r="W432" s="543">
        <f t="shared" si="47"/>
        <v>0</v>
      </c>
    </row>
    <row r="433" spans="2:23" x14ac:dyDescent="0.55000000000000004">
      <c r="B433" s="194" t="s">
        <v>946</v>
      </c>
      <c r="C433" s="25"/>
      <c r="D433" s="128"/>
      <c r="E433" s="6"/>
      <c r="F433" s="101"/>
      <c r="G433" s="101"/>
      <c r="H433" s="137"/>
      <c r="I433" s="6"/>
      <c r="J433" s="100">
        <f t="shared" si="42"/>
        <v>0</v>
      </c>
      <c r="K433" s="100">
        <f t="shared" si="43"/>
        <v>0</v>
      </c>
      <c r="L433" s="88">
        <f>K433*係数!$H$30</f>
        <v>0</v>
      </c>
      <c r="M433" s="25"/>
      <c r="N433" s="6"/>
      <c r="O433" s="6"/>
      <c r="P433" s="137"/>
      <c r="Q433" s="6"/>
      <c r="R433" s="533">
        <f t="shared" si="44"/>
        <v>0</v>
      </c>
      <c r="S433" s="12">
        <f t="shared" si="45"/>
        <v>0</v>
      </c>
      <c r="T433" s="88">
        <f>S433*係数!$H$30</f>
        <v>0</v>
      </c>
      <c r="U433" s="12">
        <f t="shared" si="46"/>
        <v>0</v>
      </c>
      <c r="V433" s="545">
        <f>U433*係数!$C$30*0.0000258</f>
        <v>0</v>
      </c>
      <c r="W433" s="543">
        <f t="shared" si="47"/>
        <v>0</v>
      </c>
    </row>
    <row r="434" spans="2:23" x14ac:dyDescent="0.55000000000000004">
      <c r="B434" s="194" t="s">
        <v>947</v>
      </c>
      <c r="C434" s="25"/>
      <c r="D434" s="128"/>
      <c r="E434" s="6"/>
      <c r="F434" s="101"/>
      <c r="G434" s="101"/>
      <c r="H434" s="137"/>
      <c r="I434" s="6"/>
      <c r="J434" s="100">
        <f t="shared" si="42"/>
        <v>0</v>
      </c>
      <c r="K434" s="100">
        <f t="shared" si="43"/>
        <v>0</v>
      </c>
      <c r="L434" s="88">
        <f>K434*係数!$H$30</f>
        <v>0</v>
      </c>
      <c r="M434" s="25"/>
      <c r="N434" s="6"/>
      <c r="O434" s="6"/>
      <c r="P434" s="137"/>
      <c r="Q434" s="6"/>
      <c r="R434" s="533">
        <f t="shared" si="44"/>
        <v>0</v>
      </c>
      <c r="S434" s="12">
        <f t="shared" si="45"/>
        <v>0</v>
      </c>
      <c r="T434" s="88">
        <f>S434*係数!$H$30</f>
        <v>0</v>
      </c>
      <c r="U434" s="12">
        <f t="shared" si="46"/>
        <v>0</v>
      </c>
      <c r="V434" s="545">
        <f>U434*係数!$C$30*0.0000258</f>
        <v>0</v>
      </c>
      <c r="W434" s="543">
        <f t="shared" si="47"/>
        <v>0</v>
      </c>
    </row>
    <row r="435" spans="2:23" x14ac:dyDescent="0.55000000000000004">
      <c r="B435" s="194" t="s">
        <v>948</v>
      </c>
      <c r="C435" s="25"/>
      <c r="D435" s="128"/>
      <c r="E435" s="6"/>
      <c r="F435" s="101"/>
      <c r="G435" s="101"/>
      <c r="H435" s="137"/>
      <c r="I435" s="6"/>
      <c r="J435" s="100">
        <f t="shared" si="42"/>
        <v>0</v>
      </c>
      <c r="K435" s="100">
        <f t="shared" si="43"/>
        <v>0</v>
      </c>
      <c r="L435" s="88">
        <f>K435*係数!$H$30</f>
        <v>0</v>
      </c>
      <c r="M435" s="25"/>
      <c r="N435" s="6"/>
      <c r="O435" s="6"/>
      <c r="P435" s="137"/>
      <c r="Q435" s="6"/>
      <c r="R435" s="533">
        <f t="shared" si="44"/>
        <v>0</v>
      </c>
      <c r="S435" s="12">
        <f t="shared" si="45"/>
        <v>0</v>
      </c>
      <c r="T435" s="88">
        <f>S435*係数!$H$30</f>
        <v>0</v>
      </c>
      <c r="U435" s="12">
        <f t="shared" si="46"/>
        <v>0</v>
      </c>
      <c r="V435" s="545">
        <f>U435*係数!$C$30*0.0000258</f>
        <v>0</v>
      </c>
      <c r="W435" s="543">
        <f t="shared" si="47"/>
        <v>0</v>
      </c>
    </row>
    <row r="436" spans="2:23" x14ac:dyDescent="0.55000000000000004">
      <c r="B436" s="194" t="s">
        <v>949</v>
      </c>
      <c r="C436" s="25"/>
      <c r="D436" s="128"/>
      <c r="E436" s="6"/>
      <c r="F436" s="101"/>
      <c r="G436" s="101"/>
      <c r="H436" s="137"/>
      <c r="I436" s="6"/>
      <c r="J436" s="100">
        <f t="shared" si="42"/>
        <v>0</v>
      </c>
      <c r="K436" s="100">
        <f t="shared" si="43"/>
        <v>0</v>
      </c>
      <c r="L436" s="88">
        <f>K436*係数!$H$30</f>
        <v>0</v>
      </c>
      <c r="M436" s="25"/>
      <c r="N436" s="6"/>
      <c r="O436" s="6"/>
      <c r="P436" s="137"/>
      <c r="Q436" s="6"/>
      <c r="R436" s="533">
        <f t="shared" si="44"/>
        <v>0</v>
      </c>
      <c r="S436" s="12">
        <f t="shared" si="45"/>
        <v>0</v>
      </c>
      <c r="T436" s="88">
        <f>S436*係数!$H$30</f>
        <v>0</v>
      </c>
      <c r="U436" s="12">
        <f t="shared" si="46"/>
        <v>0</v>
      </c>
      <c r="V436" s="545">
        <f>U436*係数!$C$30*0.0000258</f>
        <v>0</v>
      </c>
      <c r="W436" s="543">
        <f t="shared" si="47"/>
        <v>0</v>
      </c>
    </row>
    <row r="437" spans="2:23" x14ac:dyDescent="0.55000000000000004">
      <c r="B437" s="194" t="s">
        <v>950</v>
      </c>
      <c r="C437" s="25"/>
      <c r="D437" s="128"/>
      <c r="E437" s="6"/>
      <c r="F437" s="101"/>
      <c r="G437" s="101"/>
      <c r="H437" s="137"/>
      <c r="I437" s="6"/>
      <c r="J437" s="100">
        <f t="shared" si="42"/>
        <v>0</v>
      </c>
      <c r="K437" s="100">
        <f t="shared" si="43"/>
        <v>0</v>
      </c>
      <c r="L437" s="88">
        <f>K437*係数!$H$30</f>
        <v>0</v>
      </c>
      <c r="M437" s="25"/>
      <c r="N437" s="6"/>
      <c r="O437" s="6"/>
      <c r="P437" s="137"/>
      <c r="Q437" s="6"/>
      <c r="R437" s="533">
        <f t="shared" si="44"/>
        <v>0</v>
      </c>
      <c r="S437" s="12">
        <f t="shared" si="45"/>
        <v>0</v>
      </c>
      <c r="T437" s="88">
        <f>S437*係数!$H$30</f>
        <v>0</v>
      </c>
      <c r="U437" s="12">
        <f t="shared" si="46"/>
        <v>0</v>
      </c>
      <c r="V437" s="545">
        <f>U437*係数!$C$30*0.0000258</f>
        <v>0</v>
      </c>
      <c r="W437" s="543">
        <f t="shared" si="47"/>
        <v>0</v>
      </c>
    </row>
    <row r="438" spans="2:23" x14ac:dyDescent="0.55000000000000004">
      <c r="B438" s="194" t="s">
        <v>951</v>
      </c>
      <c r="C438" s="25"/>
      <c r="D438" s="128"/>
      <c r="E438" s="6"/>
      <c r="F438" s="101"/>
      <c r="G438" s="101"/>
      <c r="H438" s="137"/>
      <c r="I438" s="6"/>
      <c r="J438" s="100">
        <f t="shared" si="42"/>
        <v>0</v>
      </c>
      <c r="K438" s="100">
        <f t="shared" si="43"/>
        <v>0</v>
      </c>
      <c r="L438" s="88">
        <f>K438*係数!$H$30</f>
        <v>0</v>
      </c>
      <c r="M438" s="25"/>
      <c r="N438" s="6"/>
      <c r="O438" s="6"/>
      <c r="P438" s="137"/>
      <c r="Q438" s="6"/>
      <c r="R438" s="533">
        <f t="shared" si="44"/>
        <v>0</v>
      </c>
      <c r="S438" s="12">
        <f t="shared" si="45"/>
        <v>0</v>
      </c>
      <c r="T438" s="88">
        <f>S438*係数!$H$30</f>
        <v>0</v>
      </c>
      <c r="U438" s="12">
        <f t="shared" si="46"/>
        <v>0</v>
      </c>
      <c r="V438" s="545">
        <f>U438*係数!$C$30*0.0000258</f>
        <v>0</v>
      </c>
      <c r="W438" s="543">
        <f t="shared" si="47"/>
        <v>0</v>
      </c>
    </row>
    <row r="439" spans="2:23" x14ac:dyDescent="0.55000000000000004">
      <c r="B439" s="194" t="s">
        <v>952</v>
      </c>
      <c r="C439" s="25"/>
      <c r="D439" s="128"/>
      <c r="E439" s="6"/>
      <c r="F439" s="101"/>
      <c r="G439" s="101"/>
      <c r="H439" s="137"/>
      <c r="I439" s="6"/>
      <c r="J439" s="100">
        <f t="shared" si="42"/>
        <v>0</v>
      </c>
      <c r="K439" s="100">
        <f t="shared" si="43"/>
        <v>0</v>
      </c>
      <c r="L439" s="88">
        <f>K439*係数!$H$30</f>
        <v>0</v>
      </c>
      <c r="M439" s="25"/>
      <c r="N439" s="6"/>
      <c r="O439" s="6"/>
      <c r="P439" s="137"/>
      <c r="Q439" s="6"/>
      <c r="R439" s="533">
        <f t="shared" si="44"/>
        <v>0</v>
      </c>
      <c r="S439" s="12">
        <f t="shared" si="45"/>
        <v>0</v>
      </c>
      <c r="T439" s="88">
        <f>S439*係数!$H$30</f>
        <v>0</v>
      </c>
      <c r="U439" s="12">
        <f t="shared" si="46"/>
        <v>0</v>
      </c>
      <c r="V439" s="545">
        <f>U439*係数!$C$30*0.0000258</f>
        <v>0</v>
      </c>
      <c r="W439" s="543">
        <f t="shared" si="47"/>
        <v>0</v>
      </c>
    </row>
    <row r="440" spans="2:23" x14ac:dyDescent="0.55000000000000004">
      <c r="B440" s="194" t="s">
        <v>953</v>
      </c>
      <c r="C440" s="25"/>
      <c r="D440" s="128"/>
      <c r="E440" s="6"/>
      <c r="F440" s="101"/>
      <c r="G440" s="101"/>
      <c r="H440" s="137"/>
      <c r="I440" s="6"/>
      <c r="J440" s="100">
        <f t="shared" si="42"/>
        <v>0</v>
      </c>
      <c r="K440" s="100">
        <f t="shared" si="43"/>
        <v>0</v>
      </c>
      <c r="L440" s="88">
        <f>K440*係数!$H$30</f>
        <v>0</v>
      </c>
      <c r="M440" s="25"/>
      <c r="N440" s="6"/>
      <c r="O440" s="6"/>
      <c r="P440" s="137"/>
      <c r="Q440" s="6"/>
      <c r="R440" s="533">
        <f t="shared" si="44"/>
        <v>0</v>
      </c>
      <c r="S440" s="12">
        <f t="shared" si="45"/>
        <v>0</v>
      </c>
      <c r="T440" s="88">
        <f>S440*係数!$H$30</f>
        <v>0</v>
      </c>
      <c r="U440" s="12">
        <f t="shared" si="46"/>
        <v>0</v>
      </c>
      <c r="V440" s="545">
        <f>U440*係数!$C$30*0.0000258</f>
        <v>0</v>
      </c>
      <c r="W440" s="543">
        <f t="shared" si="47"/>
        <v>0</v>
      </c>
    </row>
    <row r="441" spans="2:23" x14ac:dyDescent="0.55000000000000004">
      <c r="B441" s="194" t="s">
        <v>954</v>
      </c>
      <c r="C441" s="25"/>
      <c r="D441" s="128"/>
      <c r="E441" s="6"/>
      <c r="F441" s="101"/>
      <c r="G441" s="101"/>
      <c r="H441" s="137"/>
      <c r="I441" s="6"/>
      <c r="J441" s="100">
        <f t="shared" si="42"/>
        <v>0</v>
      </c>
      <c r="K441" s="100">
        <f t="shared" si="43"/>
        <v>0</v>
      </c>
      <c r="L441" s="88">
        <f>K441*係数!$H$30</f>
        <v>0</v>
      </c>
      <c r="M441" s="25"/>
      <c r="N441" s="6"/>
      <c r="O441" s="6"/>
      <c r="P441" s="137"/>
      <c r="Q441" s="6"/>
      <c r="R441" s="533">
        <f t="shared" si="44"/>
        <v>0</v>
      </c>
      <c r="S441" s="12">
        <f t="shared" si="45"/>
        <v>0</v>
      </c>
      <c r="T441" s="88">
        <f>S441*係数!$H$30</f>
        <v>0</v>
      </c>
      <c r="U441" s="12">
        <f t="shared" si="46"/>
        <v>0</v>
      </c>
      <c r="V441" s="545">
        <f>U441*係数!$C$30*0.0000258</f>
        <v>0</v>
      </c>
      <c r="W441" s="543">
        <f t="shared" si="47"/>
        <v>0</v>
      </c>
    </row>
    <row r="442" spans="2:23" x14ac:dyDescent="0.55000000000000004">
      <c r="B442" s="194" t="s">
        <v>955</v>
      </c>
      <c r="C442" s="25"/>
      <c r="D442" s="128"/>
      <c r="E442" s="6"/>
      <c r="F442" s="101"/>
      <c r="G442" s="101"/>
      <c r="H442" s="137"/>
      <c r="I442" s="6"/>
      <c r="J442" s="100">
        <f t="shared" si="42"/>
        <v>0</v>
      </c>
      <c r="K442" s="100">
        <f t="shared" si="43"/>
        <v>0</v>
      </c>
      <c r="L442" s="88">
        <f>K442*係数!$H$30</f>
        <v>0</v>
      </c>
      <c r="M442" s="25"/>
      <c r="N442" s="6"/>
      <c r="O442" s="6"/>
      <c r="P442" s="137"/>
      <c r="Q442" s="6"/>
      <c r="R442" s="533">
        <f t="shared" si="44"/>
        <v>0</v>
      </c>
      <c r="S442" s="12">
        <f t="shared" si="45"/>
        <v>0</v>
      </c>
      <c r="T442" s="88">
        <f>S442*係数!$H$30</f>
        <v>0</v>
      </c>
      <c r="U442" s="12">
        <f t="shared" si="46"/>
        <v>0</v>
      </c>
      <c r="V442" s="545">
        <f>U442*係数!$C$30*0.0000258</f>
        <v>0</v>
      </c>
      <c r="W442" s="543">
        <f t="shared" si="47"/>
        <v>0</v>
      </c>
    </row>
    <row r="443" spans="2:23" x14ac:dyDescent="0.55000000000000004">
      <c r="B443" s="194" t="s">
        <v>956</v>
      </c>
      <c r="C443" s="25"/>
      <c r="D443" s="128"/>
      <c r="E443" s="6"/>
      <c r="F443" s="101"/>
      <c r="G443" s="101"/>
      <c r="H443" s="137"/>
      <c r="I443" s="6"/>
      <c r="J443" s="100">
        <f t="shared" si="42"/>
        <v>0</v>
      </c>
      <c r="K443" s="100">
        <f t="shared" si="43"/>
        <v>0</v>
      </c>
      <c r="L443" s="88">
        <f>K443*係数!$H$30</f>
        <v>0</v>
      </c>
      <c r="M443" s="25"/>
      <c r="N443" s="6"/>
      <c r="O443" s="6"/>
      <c r="P443" s="137"/>
      <c r="Q443" s="6"/>
      <c r="R443" s="533">
        <f t="shared" si="44"/>
        <v>0</v>
      </c>
      <c r="S443" s="12">
        <f t="shared" si="45"/>
        <v>0</v>
      </c>
      <c r="T443" s="88">
        <f>S443*係数!$H$30</f>
        <v>0</v>
      </c>
      <c r="U443" s="12">
        <f t="shared" si="46"/>
        <v>0</v>
      </c>
      <c r="V443" s="545">
        <f>U443*係数!$C$30*0.0000258</f>
        <v>0</v>
      </c>
      <c r="W443" s="543">
        <f t="shared" si="47"/>
        <v>0</v>
      </c>
    </row>
    <row r="444" spans="2:23" x14ac:dyDescent="0.55000000000000004">
      <c r="B444" s="194" t="s">
        <v>957</v>
      </c>
      <c r="C444" s="25"/>
      <c r="D444" s="128"/>
      <c r="E444" s="6"/>
      <c r="F444" s="101"/>
      <c r="G444" s="101"/>
      <c r="H444" s="137"/>
      <c r="I444" s="6"/>
      <c r="J444" s="100">
        <f t="shared" si="42"/>
        <v>0</v>
      </c>
      <c r="K444" s="100">
        <f t="shared" si="43"/>
        <v>0</v>
      </c>
      <c r="L444" s="88">
        <f>K444*係数!$H$30</f>
        <v>0</v>
      </c>
      <c r="M444" s="25"/>
      <c r="N444" s="6"/>
      <c r="O444" s="6"/>
      <c r="P444" s="137"/>
      <c r="Q444" s="6"/>
      <c r="R444" s="533">
        <f t="shared" si="44"/>
        <v>0</v>
      </c>
      <c r="S444" s="12">
        <f t="shared" si="45"/>
        <v>0</v>
      </c>
      <c r="T444" s="88">
        <f>S444*係数!$H$30</f>
        <v>0</v>
      </c>
      <c r="U444" s="12">
        <f t="shared" si="46"/>
        <v>0</v>
      </c>
      <c r="V444" s="545">
        <f>U444*係数!$C$30*0.0000258</f>
        <v>0</v>
      </c>
      <c r="W444" s="543">
        <f t="shared" si="47"/>
        <v>0</v>
      </c>
    </row>
    <row r="445" spans="2:23" x14ac:dyDescent="0.55000000000000004">
      <c r="B445" s="194" t="s">
        <v>958</v>
      </c>
      <c r="C445" s="25"/>
      <c r="D445" s="128"/>
      <c r="E445" s="6"/>
      <c r="F445" s="101"/>
      <c r="G445" s="101"/>
      <c r="H445" s="137"/>
      <c r="I445" s="6"/>
      <c r="J445" s="100">
        <f t="shared" si="42"/>
        <v>0</v>
      </c>
      <c r="K445" s="100">
        <f t="shared" si="43"/>
        <v>0</v>
      </c>
      <c r="L445" s="88">
        <f>K445*係数!$H$30</f>
        <v>0</v>
      </c>
      <c r="M445" s="25"/>
      <c r="N445" s="6"/>
      <c r="O445" s="6"/>
      <c r="P445" s="137"/>
      <c r="Q445" s="6"/>
      <c r="R445" s="533">
        <f t="shared" si="44"/>
        <v>0</v>
      </c>
      <c r="S445" s="12">
        <f t="shared" si="45"/>
        <v>0</v>
      </c>
      <c r="T445" s="88">
        <f>S445*係数!$H$30</f>
        <v>0</v>
      </c>
      <c r="U445" s="12">
        <f t="shared" si="46"/>
        <v>0</v>
      </c>
      <c r="V445" s="545">
        <f>U445*係数!$C$30*0.0000258</f>
        <v>0</v>
      </c>
      <c r="W445" s="543">
        <f t="shared" si="47"/>
        <v>0</v>
      </c>
    </row>
    <row r="446" spans="2:23" x14ac:dyDescent="0.55000000000000004">
      <c r="B446" s="194" t="s">
        <v>959</v>
      </c>
      <c r="C446" s="25"/>
      <c r="D446" s="128"/>
      <c r="E446" s="6"/>
      <c r="F446" s="101"/>
      <c r="G446" s="101"/>
      <c r="H446" s="137"/>
      <c r="I446" s="6"/>
      <c r="J446" s="100">
        <f t="shared" si="42"/>
        <v>0</v>
      </c>
      <c r="K446" s="100">
        <f t="shared" si="43"/>
        <v>0</v>
      </c>
      <c r="L446" s="88">
        <f>K446*係数!$H$30</f>
        <v>0</v>
      </c>
      <c r="M446" s="25"/>
      <c r="N446" s="6"/>
      <c r="O446" s="6"/>
      <c r="P446" s="137"/>
      <c r="Q446" s="6"/>
      <c r="R446" s="533">
        <f t="shared" si="44"/>
        <v>0</v>
      </c>
      <c r="S446" s="12">
        <f t="shared" si="45"/>
        <v>0</v>
      </c>
      <c r="T446" s="88">
        <f>S446*係数!$H$30</f>
        <v>0</v>
      </c>
      <c r="U446" s="12">
        <f t="shared" si="46"/>
        <v>0</v>
      </c>
      <c r="V446" s="545">
        <f>U446*係数!$C$30*0.0000258</f>
        <v>0</v>
      </c>
      <c r="W446" s="543">
        <f t="shared" si="47"/>
        <v>0</v>
      </c>
    </row>
    <row r="447" spans="2:23" x14ac:dyDescent="0.55000000000000004">
      <c r="B447" s="194" t="s">
        <v>960</v>
      </c>
      <c r="C447" s="25"/>
      <c r="D447" s="128"/>
      <c r="E447" s="6"/>
      <c r="F447" s="101"/>
      <c r="G447" s="101"/>
      <c r="H447" s="137"/>
      <c r="I447" s="6"/>
      <c r="J447" s="100">
        <f t="shared" si="42"/>
        <v>0</v>
      </c>
      <c r="K447" s="100">
        <f t="shared" si="43"/>
        <v>0</v>
      </c>
      <c r="L447" s="88">
        <f>K447*係数!$H$30</f>
        <v>0</v>
      </c>
      <c r="M447" s="25"/>
      <c r="N447" s="6"/>
      <c r="O447" s="6"/>
      <c r="P447" s="137"/>
      <c r="Q447" s="6"/>
      <c r="R447" s="533">
        <f t="shared" si="44"/>
        <v>0</v>
      </c>
      <c r="S447" s="12">
        <f t="shared" si="45"/>
        <v>0</v>
      </c>
      <c r="T447" s="88">
        <f>S447*係数!$H$30</f>
        <v>0</v>
      </c>
      <c r="U447" s="12">
        <f t="shared" si="46"/>
        <v>0</v>
      </c>
      <c r="V447" s="545">
        <f>U447*係数!$C$30*0.0000258</f>
        <v>0</v>
      </c>
      <c r="W447" s="543">
        <f t="shared" si="47"/>
        <v>0</v>
      </c>
    </row>
    <row r="448" spans="2:23" x14ac:dyDescent="0.55000000000000004">
      <c r="B448" s="194" t="s">
        <v>961</v>
      </c>
      <c r="C448" s="25"/>
      <c r="D448" s="128"/>
      <c r="E448" s="6"/>
      <c r="F448" s="101"/>
      <c r="G448" s="101"/>
      <c r="H448" s="137"/>
      <c r="I448" s="6"/>
      <c r="J448" s="100">
        <f t="shared" si="42"/>
        <v>0</v>
      </c>
      <c r="K448" s="100">
        <f t="shared" si="43"/>
        <v>0</v>
      </c>
      <c r="L448" s="88">
        <f>K448*係数!$H$30</f>
        <v>0</v>
      </c>
      <c r="M448" s="25"/>
      <c r="N448" s="6"/>
      <c r="O448" s="6"/>
      <c r="P448" s="137"/>
      <c r="Q448" s="6"/>
      <c r="R448" s="533">
        <f t="shared" si="44"/>
        <v>0</v>
      </c>
      <c r="S448" s="12">
        <f t="shared" si="45"/>
        <v>0</v>
      </c>
      <c r="T448" s="88">
        <f>S448*係数!$H$30</f>
        <v>0</v>
      </c>
      <c r="U448" s="12">
        <f t="shared" si="46"/>
        <v>0</v>
      </c>
      <c r="V448" s="545">
        <f>U448*係数!$C$30*0.0000258</f>
        <v>0</v>
      </c>
      <c r="W448" s="543">
        <f t="shared" si="47"/>
        <v>0</v>
      </c>
    </row>
    <row r="449" spans="2:23" x14ac:dyDescent="0.55000000000000004">
      <c r="B449" s="194" t="s">
        <v>962</v>
      </c>
      <c r="C449" s="25"/>
      <c r="D449" s="128"/>
      <c r="E449" s="6"/>
      <c r="F449" s="101"/>
      <c r="G449" s="101"/>
      <c r="H449" s="137"/>
      <c r="I449" s="6"/>
      <c r="J449" s="100">
        <f t="shared" si="42"/>
        <v>0</v>
      </c>
      <c r="K449" s="100">
        <f t="shared" si="43"/>
        <v>0</v>
      </c>
      <c r="L449" s="88">
        <f>K449*係数!$H$30</f>
        <v>0</v>
      </c>
      <c r="M449" s="25"/>
      <c r="N449" s="6"/>
      <c r="O449" s="6"/>
      <c r="P449" s="137"/>
      <c r="Q449" s="6"/>
      <c r="R449" s="533">
        <f t="shared" si="44"/>
        <v>0</v>
      </c>
      <c r="S449" s="12">
        <f t="shared" si="45"/>
        <v>0</v>
      </c>
      <c r="T449" s="88">
        <f>S449*係数!$H$30</f>
        <v>0</v>
      </c>
      <c r="U449" s="12">
        <f t="shared" si="46"/>
        <v>0</v>
      </c>
      <c r="V449" s="545">
        <f>U449*係数!$C$30*0.0000258</f>
        <v>0</v>
      </c>
      <c r="W449" s="543">
        <f t="shared" si="47"/>
        <v>0</v>
      </c>
    </row>
    <row r="450" spans="2:23" x14ac:dyDescent="0.55000000000000004">
      <c r="B450" s="194" t="s">
        <v>963</v>
      </c>
      <c r="C450" s="25"/>
      <c r="D450" s="128"/>
      <c r="E450" s="6"/>
      <c r="F450" s="101"/>
      <c r="G450" s="101"/>
      <c r="H450" s="137"/>
      <c r="I450" s="6"/>
      <c r="J450" s="100">
        <f t="shared" si="42"/>
        <v>0</v>
      </c>
      <c r="K450" s="100">
        <f t="shared" si="43"/>
        <v>0</v>
      </c>
      <c r="L450" s="88">
        <f>K450*係数!$H$30</f>
        <v>0</v>
      </c>
      <c r="M450" s="25"/>
      <c r="N450" s="6"/>
      <c r="O450" s="6"/>
      <c r="P450" s="137"/>
      <c r="Q450" s="6"/>
      <c r="R450" s="533">
        <f t="shared" si="44"/>
        <v>0</v>
      </c>
      <c r="S450" s="12">
        <f t="shared" si="45"/>
        <v>0</v>
      </c>
      <c r="T450" s="88">
        <f>S450*係数!$H$30</f>
        <v>0</v>
      </c>
      <c r="U450" s="12">
        <f t="shared" si="46"/>
        <v>0</v>
      </c>
      <c r="V450" s="545">
        <f>U450*係数!$C$30*0.0000258</f>
        <v>0</v>
      </c>
      <c r="W450" s="543">
        <f t="shared" si="47"/>
        <v>0</v>
      </c>
    </row>
    <row r="451" spans="2:23" x14ac:dyDescent="0.55000000000000004">
      <c r="B451" s="194" t="s">
        <v>964</v>
      </c>
      <c r="C451" s="25"/>
      <c r="D451" s="128"/>
      <c r="E451" s="6"/>
      <c r="F451" s="101"/>
      <c r="G451" s="101"/>
      <c r="H451" s="137"/>
      <c r="I451" s="6"/>
      <c r="J451" s="100">
        <f t="shared" si="42"/>
        <v>0</v>
      </c>
      <c r="K451" s="100">
        <f t="shared" si="43"/>
        <v>0</v>
      </c>
      <c r="L451" s="88">
        <f>K451*係数!$H$30</f>
        <v>0</v>
      </c>
      <c r="M451" s="25"/>
      <c r="N451" s="6"/>
      <c r="O451" s="6"/>
      <c r="P451" s="137"/>
      <c r="Q451" s="6"/>
      <c r="R451" s="533">
        <f t="shared" si="44"/>
        <v>0</v>
      </c>
      <c r="S451" s="12">
        <f t="shared" si="45"/>
        <v>0</v>
      </c>
      <c r="T451" s="88">
        <f>S451*係数!$H$30</f>
        <v>0</v>
      </c>
      <c r="U451" s="12">
        <f t="shared" si="46"/>
        <v>0</v>
      </c>
      <c r="V451" s="545">
        <f>U451*係数!$C$30*0.0000258</f>
        <v>0</v>
      </c>
      <c r="W451" s="543">
        <f t="shared" si="47"/>
        <v>0</v>
      </c>
    </row>
    <row r="452" spans="2:23" x14ac:dyDescent="0.55000000000000004">
      <c r="B452" s="194" t="s">
        <v>965</v>
      </c>
      <c r="C452" s="25"/>
      <c r="D452" s="128"/>
      <c r="E452" s="6"/>
      <c r="F452" s="101"/>
      <c r="G452" s="101"/>
      <c r="H452" s="137"/>
      <c r="I452" s="6"/>
      <c r="J452" s="100">
        <f t="shared" si="42"/>
        <v>0</v>
      </c>
      <c r="K452" s="100">
        <f t="shared" si="43"/>
        <v>0</v>
      </c>
      <c r="L452" s="88">
        <f>K452*係数!$H$30</f>
        <v>0</v>
      </c>
      <c r="M452" s="25"/>
      <c r="N452" s="6"/>
      <c r="O452" s="6"/>
      <c r="P452" s="137"/>
      <c r="Q452" s="6"/>
      <c r="R452" s="533">
        <f t="shared" si="44"/>
        <v>0</v>
      </c>
      <c r="S452" s="12">
        <f t="shared" si="45"/>
        <v>0</v>
      </c>
      <c r="T452" s="88">
        <f>S452*係数!$H$30</f>
        <v>0</v>
      </c>
      <c r="U452" s="12">
        <f t="shared" si="46"/>
        <v>0</v>
      </c>
      <c r="V452" s="545">
        <f>U452*係数!$C$30*0.0000258</f>
        <v>0</v>
      </c>
      <c r="W452" s="543">
        <f t="shared" si="47"/>
        <v>0</v>
      </c>
    </row>
    <row r="453" spans="2:23" x14ac:dyDescent="0.55000000000000004">
      <c r="B453" s="194" t="s">
        <v>966</v>
      </c>
      <c r="C453" s="25"/>
      <c r="D453" s="128"/>
      <c r="E453" s="6"/>
      <c r="F453" s="101"/>
      <c r="G453" s="101"/>
      <c r="H453" s="137"/>
      <c r="I453" s="6"/>
      <c r="J453" s="100">
        <f t="shared" si="42"/>
        <v>0</v>
      </c>
      <c r="K453" s="100">
        <f t="shared" si="43"/>
        <v>0</v>
      </c>
      <c r="L453" s="88">
        <f>K453*係数!$H$30</f>
        <v>0</v>
      </c>
      <c r="M453" s="25"/>
      <c r="N453" s="6"/>
      <c r="O453" s="6"/>
      <c r="P453" s="137"/>
      <c r="Q453" s="6"/>
      <c r="R453" s="533">
        <f t="shared" si="44"/>
        <v>0</v>
      </c>
      <c r="S453" s="12">
        <f t="shared" si="45"/>
        <v>0</v>
      </c>
      <c r="T453" s="88">
        <f>S453*係数!$H$30</f>
        <v>0</v>
      </c>
      <c r="U453" s="12">
        <f t="shared" si="46"/>
        <v>0</v>
      </c>
      <c r="V453" s="545">
        <f>U453*係数!$C$30*0.0000258</f>
        <v>0</v>
      </c>
      <c r="W453" s="543">
        <f t="shared" si="47"/>
        <v>0</v>
      </c>
    </row>
    <row r="454" spans="2:23" x14ac:dyDescent="0.55000000000000004">
      <c r="B454" s="194" t="s">
        <v>967</v>
      </c>
      <c r="C454" s="25"/>
      <c r="D454" s="128"/>
      <c r="E454" s="6"/>
      <c r="F454" s="101"/>
      <c r="G454" s="101"/>
      <c r="H454" s="137"/>
      <c r="I454" s="6"/>
      <c r="J454" s="100">
        <f t="shared" si="42"/>
        <v>0</v>
      </c>
      <c r="K454" s="100">
        <f t="shared" si="43"/>
        <v>0</v>
      </c>
      <c r="L454" s="88">
        <f>K454*係数!$H$30</f>
        <v>0</v>
      </c>
      <c r="M454" s="25"/>
      <c r="N454" s="6"/>
      <c r="O454" s="6"/>
      <c r="P454" s="137"/>
      <c r="Q454" s="6"/>
      <c r="R454" s="533">
        <f t="shared" si="44"/>
        <v>0</v>
      </c>
      <c r="S454" s="12">
        <f t="shared" si="45"/>
        <v>0</v>
      </c>
      <c r="T454" s="88">
        <f>S454*係数!$H$30</f>
        <v>0</v>
      </c>
      <c r="U454" s="12">
        <f t="shared" si="46"/>
        <v>0</v>
      </c>
      <c r="V454" s="545">
        <f>U454*係数!$C$30*0.0000258</f>
        <v>0</v>
      </c>
      <c r="W454" s="543">
        <f t="shared" si="47"/>
        <v>0</v>
      </c>
    </row>
    <row r="455" spans="2:23" x14ac:dyDescent="0.55000000000000004">
      <c r="B455" s="194" t="s">
        <v>968</v>
      </c>
      <c r="C455" s="25"/>
      <c r="D455" s="128"/>
      <c r="E455" s="6"/>
      <c r="F455" s="101"/>
      <c r="G455" s="101"/>
      <c r="H455" s="137"/>
      <c r="I455" s="6"/>
      <c r="J455" s="100">
        <f t="shared" si="42"/>
        <v>0</v>
      </c>
      <c r="K455" s="100">
        <f t="shared" si="43"/>
        <v>0</v>
      </c>
      <c r="L455" s="88">
        <f>K455*係数!$H$30</f>
        <v>0</v>
      </c>
      <c r="M455" s="25"/>
      <c r="N455" s="6"/>
      <c r="O455" s="6"/>
      <c r="P455" s="137"/>
      <c r="Q455" s="6"/>
      <c r="R455" s="533">
        <f t="shared" si="44"/>
        <v>0</v>
      </c>
      <c r="S455" s="12">
        <f t="shared" si="45"/>
        <v>0</v>
      </c>
      <c r="T455" s="88">
        <f>S455*係数!$H$30</f>
        <v>0</v>
      </c>
      <c r="U455" s="12">
        <f t="shared" si="46"/>
        <v>0</v>
      </c>
      <c r="V455" s="545">
        <f>U455*係数!$C$30*0.0000258</f>
        <v>0</v>
      </c>
      <c r="W455" s="543">
        <f t="shared" si="47"/>
        <v>0</v>
      </c>
    </row>
    <row r="456" spans="2:23" x14ac:dyDescent="0.55000000000000004">
      <c r="B456" s="194" t="s">
        <v>969</v>
      </c>
      <c r="C456" s="25"/>
      <c r="D456" s="128"/>
      <c r="E456" s="6"/>
      <c r="F456" s="101"/>
      <c r="G456" s="101"/>
      <c r="H456" s="137"/>
      <c r="I456" s="6"/>
      <c r="J456" s="100">
        <f t="shared" si="42"/>
        <v>0</v>
      </c>
      <c r="K456" s="100">
        <f t="shared" si="43"/>
        <v>0</v>
      </c>
      <c r="L456" s="88">
        <f>K456*係数!$H$30</f>
        <v>0</v>
      </c>
      <c r="M456" s="25"/>
      <c r="N456" s="6"/>
      <c r="O456" s="6"/>
      <c r="P456" s="137"/>
      <c r="Q456" s="6"/>
      <c r="R456" s="533">
        <f t="shared" si="44"/>
        <v>0</v>
      </c>
      <c r="S456" s="12">
        <f t="shared" si="45"/>
        <v>0</v>
      </c>
      <c r="T456" s="88">
        <f>S456*係数!$H$30</f>
        <v>0</v>
      </c>
      <c r="U456" s="12">
        <f t="shared" si="46"/>
        <v>0</v>
      </c>
      <c r="V456" s="545">
        <f>U456*係数!$C$30*0.0000258</f>
        <v>0</v>
      </c>
      <c r="W456" s="543">
        <f t="shared" si="47"/>
        <v>0</v>
      </c>
    </row>
    <row r="457" spans="2:23" x14ac:dyDescent="0.55000000000000004">
      <c r="B457" s="194" t="s">
        <v>970</v>
      </c>
      <c r="C457" s="25"/>
      <c r="D457" s="128"/>
      <c r="E457" s="6"/>
      <c r="F457" s="101"/>
      <c r="G457" s="101"/>
      <c r="H457" s="137"/>
      <c r="I457" s="6"/>
      <c r="J457" s="100">
        <f t="shared" si="42"/>
        <v>0</v>
      </c>
      <c r="K457" s="100">
        <f t="shared" si="43"/>
        <v>0</v>
      </c>
      <c r="L457" s="88">
        <f>K457*係数!$H$30</f>
        <v>0</v>
      </c>
      <c r="M457" s="25"/>
      <c r="N457" s="6"/>
      <c r="O457" s="6"/>
      <c r="P457" s="137"/>
      <c r="Q457" s="6"/>
      <c r="R457" s="533">
        <f t="shared" si="44"/>
        <v>0</v>
      </c>
      <c r="S457" s="12">
        <f t="shared" si="45"/>
        <v>0</v>
      </c>
      <c r="T457" s="88">
        <f>S457*係数!$H$30</f>
        <v>0</v>
      </c>
      <c r="U457" s="12">
        <f t="shared" si="46"/>
        <v>0</v>
      </c>
      <c r="V457" s="545">
        <f>U457*係数!$C$30*0.0000258</f>
        <v>0</v>
      </c>
      <c r="W457" s="543">
        <f t="shared" si="47"/>
        <v>0</v>
      </c>
    </row>
    <row r="458" spans="2:23" x14ac:dyDescent="0.55000000000000004">
      <c r="B458" s="194" t="s">
        <v>971</v>
      </c>
      <c r="C458" s="25"/>
      <c r="D458" s="128"/>
      <c r="E458" s="6"/>
      <c r="F458" s="101"/>
      <c r="G458" s="101"/>
      <c r="H458" s="137"/>
      <c r="I458" s="6"/>
      <c r="J458" s="100">
        <f t="shared" si="42"/>
        <v>0</v>
      </c>
      <c r="K458" s="100">
        <f t="shared" si="43"/>
        <v>0</v>
      </c>
      <c r="L458" s="88">
        <f>K458*係数!$H$30</f>
        <v>0</v>
      </c>
      <c r="M458" s="25"/>
      <c r="N458" s="6"/>
      <c r="O458" s="6"/>
      <c r="P458" s="137"/>
      <c r="Q458" s="6"/>
      <c r="R458" s="533">
        <f t="shared" si="44"/>
        <v>0</v>
      </c>
      <c r="S458" s="12">
        <f t="shared" si="45"/>
        <v>0</v>
      </c>
      <c r="T458" s="88">
        <f>S458*係数!$H$30</f>
        <v>0</v>
      </c>
      <c r="U458" s="12">
        <f t="shared" si="46"/>
        <v>0</v>
      </c>
      <c r="V458" s="545">
        <f>U458*係数!$C$30*0.0000258</f>
        <v>0</v>
      </c>
      <c r="W458" s="543">
        <f t="shared" si="47"/>
        <v>0</v>
      </c>
    </row>
    <row r="459" spans="2:23" x14ac:dyDescent="0.55000000000000004">
      <c r="B459" s="194" t="s">
        <v>972</v>
      </c>
      <c r="C459" s="25"/>
      <c r="D459" s="128"/>
      <c r="E459" s="6"/>
      <c r="F459" s="101"/>
      <c r="G459" s="101"/>
      <c r="H459" s="137"/>
      <c r="I459" s="6"/>
      <c r="J459" s="100">
        <f t="shared" si="42"/>
        <v>0</v>
      </c>
      <c r="K459" s="100">
        <f t="shared" si="43"/>
        <v>0</v>
      </c>
      <c r="L459" s="88">
        <f>K459*係数!$H$30</f>
        <v>0</v>
      </c>
      <c r="M459" s="25"/>
      <c r="N459" s="6"/>
      <c r="O459" s="6"/>
      <c r="P459" s="137"/>
      <c r="Q459" s="6"/>
      <c r="R459" s="533">
        <f t="shared" si="44"/>
        <v>0</v>
      </c>
      <c r="S459" s="12">
        <f t="shared" si="45"/>
        <v>0</v>
      </c>
      <c r="T459" s="88">
        <f>S459*係数!$H$30</f>
        <v>0</v>
      </c>
      <c r="U459" s="12">
        <f t="shared" si="46"/>
        <v>0</v>
      </c>
      <c r="V459" s="545">
        <f>U459*係数!$C$30*0.0000258</f>
        <v>0</v>
      </c>
      <c r="W459" s="543">
        <f t="shared" si="47"/>
        <v>0</v>
      </c>
    </row>
    <row r="460" spans="2:23" x14ac:dyDescent="0.55000000000000004">
      <c r="B460" s="194" t="s">
        <v>973</v>
      </c>
      <c r="C460" s="25"/>
      <c r="D460" s="128"/>
      <c r="E460" s="6"/>
      <c r="F460" s="101"/>
      <c r="G460" s="101"/>
      <c r="H460" s="137"/>
      <c r="I460" s="6"/>
      <c r="J460" s="100">
        <f t="shared" si="42"/>
        <v>0</v>
      </c>
      <c r="K460" s="100">
        <f t="shared" si="43"/>
        <v>0</v>
      </c>
      <c r="L460" s="88">
        <f>K460*係数!$H$30</f>
        <v>0</v>
      </c>
      <c r="M460" s="25"/>
      <c r="N460" s="6"/>
      <c r="O460" s="6"/>
      <c r="P460" s="137"/>
      <c r="Q460" s="6"/>
      <c r="R460" s="533">
        <f t="shared" si="44"/>
        <v>0</v>
      </c>
      <c r="S460" s="12">
        <f t="shared" si="45"/>
        <v>0</v>
      </c>
      <c r="T460" s="88">
        <f>S460*係数!$H$30</f>
        <v>0</v>
      </c>
      <c r="U460" s="12">
        <f t="shared" si="46"/>
        <v>0</v>
      </c>
      <c r="V460" s="545">
        <f>U460*係数!$C$30*0.0000258</f>
        <v>0</v>
      </c>
      <c r="W460" s="543">
        <f t="shared" si="47"/>
        <v>0</v>
      </c>
    </row>
    <row r="461" spans="2:23" x14ac:dyDescent="0.55000000000000004">
      <c r="B461" s="194" t="s">
        <v>974</v>
      </c>
      <c r="C461" s="25"/>
      <c r="D461" s="128"/>
      <c r="E461" s="6"/>
      <c r="F461" s="101"/>
      <c r="G461" s="101"/>
      <c r="H461" s="137"/>
      <c r="I461" s="6"/>
      <c r="J461" s="100">
        <f t="shared" si="42"/>
        <v>0</v>
      </c>
      <c r="K461" s="100">
        <f t="shared" si="43"/>
        <v>0</v>
      </c>
      <c r="L461" s="88">
        <f>K461*係数!$H$30</f>
        <v>0</v>
      </c>
      <c r="M461" s="25"/>
      <c r="N461" s="6"/>
      <c r="O461" s="6"/>
      <c r="P461" s="137"/>
      <c r="Q461" s="6"/>
      <c r="R461" s="533">
        <f t="shared" si="44"/>
        <v>0</v>
      </c>
      <c r="S461" s="12">
        <f t="shared" si="45"/>
        <v>0</v>
      </c>
      <c r="T461" s="88">
        <f>S461*係数!$H$30</f>
        <v>0</v>
      </c>
      <c r="U461" s="12">
        <f t="shared" si="46"/>
        <v>0</v>
      </c>
      <c r="V461" s="545">
        <f>U461*係数!$C$30*0.0000258</f>
        <v>0</v>
      </c>
      <c r="W461" s="543">
        <f t="shared" si="47"/>
        <v>0</v>
      </c>
    </row>
    <row r="462" spans="2:23" x14ac:dyDescent="0.55000000000000004">
      <c r="B462" s="194" t="s">
        <v>975</v>
      </c>
      <c r="C462" s="25"/>
      <c r="D462" s="128"/>
      <c r="E462" s="6"/>
      <c r="F462" s="101"/>
      <c r="G462" s="101"/>
      <c r="H462" s="137"/>
      <c r="I462" s="6"/>
      <c r="J462" s="100">
        <f t="shared" si="42"/>
        <v>0</v>
      </c>
      <c r="K462" s="100">
        <f t="shared" si="43"/>
        <v>0</v>
      </c>
      <c r="L462" s="88">
        <f>K462*係数!$H$30</f>
        <v>0</v>
      </c>
      <c r="M462" s="25"/>
      <c r="N462" s="6"/>
      <c r="O462" s="6"/>
      <c r="P462" s="137"/>
      <c r="Q462" s="6"/>
      <c r="R462" s="533">
        <f t="shared" si="44"/>
        <v>0</v>
      </c>
      <c r="S462" s="12">
        <f t="shared" si="45"/>
        <v>0</v>
      </c>
      <c r="T462" s="88">
        <f>S462*係数!$H$30</f>
        <v>0</v>
      </c>
      <c r="U462" s="12">
        <f t="shared" si="46"/>
        <v>0</v>
      </c>
      <c r="V462" s="545">
        <f>U462*係数!$C$30*0.0000258</f>
        <v>0</v>
      </c>
      <c r="W462" s="543">
        <f t="shared" si="47"/>
        <v>0</v>
      </c>
    </row>
    <row r="463" spans="2:23" x14ac:dyDescent="0.55000000000000004">
      <c r="B463" s="194" t="s">
        <v>976</v>
      </c>
      <c r="C463" s="25"/>
      <c r="D463" s="128"/>
      <c r="E463" s="6"/>
      <c r="F463" s="101"/>
      <c r="G463" s="101"/>
      <c r="H463" s="137"/>
      <c r="I463" s="6"/>
      <c r="J463" s="100">
        <f t="shared" si="42"/>
        <v>0</v>
      </c>
      <c r="K463" s="100">
        <f t="shared" si="43"/>
        <v>0</v>
      </c>
      <c r="L463" s="88">
        <f>K463*係数!$H$30</f>
        <v>0</v>
      </c>
      <c r="M463" s="25"/>
      <c r="N463" s="6"/>
      <c r="O463" s="6"/>
      <c r="P463" s="137"/>
      <c r="Q463" s="6"/>
      <c r="R463" s="533">
        <f t="shared" si="44"/>
        <v>0</v>
      </c>
      <c r="S463" s="12">
        <f t="shared" si="45"/>
        <v>0</v>
      </c>
      <c r="T463" s="88">
        <f>S463*係数!$H$30</f>
        <v>0</v>
      </c>
      <c r="U463" s="12">
        <f t="shared" si="46"/>
        <v>0</v>
      </c>
      <c r="V463" s="545">
        <f>U463*係数!$C$30*0.0000258</f>
        <v>0</v>
      </c>
      <c r="W463" s="543">
        <f t="shared" si="47"/>
        <v>0</v>
      </c>
    </row>
    <row r="464" spans="2:23" x14ac:dyDescent="0.55000000000000004">
      <c r="B464" s="194" t="s">
        <v>977</v>
      </c>
      <c r="C464" s="25"/>
      <c r="D464" s="128"/>
      <c r="E464" s="6"/>
      <c r="F464" s="101"/>
      <c r="G464" s="101"/>
      <c r="H464" s="137"/>
      <c r="I464" s="6"/>
      <c r="J464" s="100">
        <f t="shared" si="42"/>
        <v>0</v>
      </c>
      <c r="K464" s="100">
        <f t="shared" si="43"/>
        <v>0</v>
      </c>
      <c r="L464" s="88">
        <f>K464*係数!$H$30</f>
        <v>0</v>
      </c>
      <c r="M464" s="25"/>
      <c r="N464" s="6"/>
      <c r="O464" s="6"/>
      <c r="P464" s="137"/>
      <c r="Q464" s="6"/>
      <c r="R464" s="533">
        <f t="shared" si="44"/>
        <v>0</v>
      </c>
      <c r="S464" s="12">
        <f t="shared" si="45"/>
        <v>0</v>
      </c>
      <c r="T464" s="88">
        <f>S464*係数!$H$30</f>
        <v>0</v>
      </c>
      <c r="U464" s="12">
        <f t="shared" si="46"/>
        <v>0</v>
      </c>
      <c r="V464" s="545">
        <f>U464*係数!$C$30*0.0000258</f>
        <v>0</v>
      </c>
      <c r="W464" s="543">
        <f t="shared" si="47"/>
        <v>0</v>
      </c>
    </row>
    <row r="465" spans="2:23" x14ac:dyDescent="0.55000000000000004">
      <c r="B465" s="194" t="s">
        <v>978</v>
      </c>
      <c r="C465" s="25"/>
      <c r="D465" s="128"/>
      <c r="E465" s="6"/>
      <c r="F465" s="101"/>
      <c r="G465" s="101"/>
      <c r="H465" s="137"/>
      <c r="I465" s="6"/>
      <c r="J465" s="100">
        <f t="shared" si="42"/>
        <v>0</v>
      </c>
      <c r="K465" s="100">
        <f t="shared" si="43"/>
        <v>0</v>
      </c>
      <c r="L465" s="88">
        <f>K465*係数!$H$30</f>
        <v>0</v>
      </c>
      <c r="M465" s="25"/>
      <c r="N465" s="6"/>
      <c r="O465" s="6"/>
      <c r="P465" s="137"/>
      <c r="Q465" s="6"/>
      <c r="R465" s="533">
        <f t="shared" si="44"/>
        <v>0</v>
      </c>
      <c r="S465" s="12">
        <f t="shared" si="45"/>
        <v>0</v>
      </c>
      <c r="T465" s="88">
        <f>S465*係数!$H$30</f>
        <v>0</v>
      </c>
      <c r="U465" s="12">
        <f t="shared" si="46"/>
        <v>0</v>
      </c>
      <c r="V465" s="545">
        <f>U465*係数!$C$30*0.0000258</f>
        <v>0</v>
      </c>
      <c r="W465" s="543">
        <f t="shared" si="47"/>
        <v>0</v>
      </c>
    </row>
    <row r="466" spans="2:23" x14ac:dyDescent="0.55000000000000004">
      <c r="B466" s="194" t="s">
        <v>979</v>
      </c>
      <c r="C466" s="25"/>
      <c r="D466" s="128"/>
      <c r="E466" s="6"/>
      <c r="F466" s="101"/>
      <c r="G466" s="101"/>
      <c r="H466" s="137"/>
      <c r="I466" s="6"/>
      <c r="J466" s="100">
        <f t="shared" si="42"/>
        <v>0</v>
      </c>
      <c r="K466" s="100">
        <f t="shared" si="43"/>
        <v>0</v>
      </c>
      <c r="L466" s="88">
        <f>K466*係数!$H$30</f>
        <v>0</v>
      </c>
      <c r="M466" s="25"/>
      <c r="N466" s="6"/>
      <c r="O466" s="6"/>
      <c r="P466" s="137"/>
      <c r="Q466" s="6"/>
      <c r="R466" s="533">
        <f t="shared" si="44"/>
        <v>0</v>
      </c>
      <c r="S466" s="12">
        <f t="shared" si="45"/>
        <v>0</v>
      </c>
      <c r="T466" s="88">
        <f>S466*係数!$H$30</f>
        <v>0</v>
      </c>
      <c r="U466" s="12">
        <f t="shared" si="46"/>
        <v>0</v>
      </c>
      <c r="V466" s="545">
        <f>U466*係数!$C$30*0.0000258</f>
        <v>0</v>
      </c>
      <c r="W466" s="543">
        <f t="shared" si="47"/>
        <v>0</v>
      </c>
    </row>
    <row r="467" spans="2:23" x14ac:dyDescent="0.55000000000000004">
      <c r="B467" s="194" t="s">
        <v>980</v>
      </c>
      <c r="C467" s="25"/>
      <c r="D467" s="128"/>
      <c r="E467" s="6"/>
      <c r="F467" s="101"/>
      <c r="G467" s="101"/>
      <c r="H467" s="137"/>
      <c r="I467" s="6"/>
      <c r="J467" s="100">
        <f t="shared" si="42"/>
        <v>0</v>
      </c>
      <c r="K467" s="100">
        <f t="shared" si="43"/>
        <v>0</v>
      </c>
      <c r="L467" s="88">
        <f>K467*係数!$H$30</f>
        <v>0</v>
      </c>
      <c r="M467" s="25"/>
      <c r="N467" s="6"/>
      <c r="O467" s="6"/>
      <c r="P467" s="137"/>
      <c r="Q467" s="6"/>
      <c r="R467" s="533">
        <f t="shared" si="44"/>
        <v>0</v>
      </c>
      <c r="S467" s="12">
        <f t="shared" si="45"/>
        <v>0</v>
      </c>
      <c r="T467" s="88">
        <f>S467*係数!$H$30</f>
        <v>0</v>
      </c>
      <c r="U467" s="12">
        <f t="shared" si="46"/>
        <v>0</v>
      </c>
      <c r="V467" s="545">
        <f>U467*係数!$C$30*0.0000258</f>
        <v>0</v>
      </c>
      <c r="W467" s="543">
        <f t="shared" si="47"/>
        <v>0</v>
      </c>
    </row>
    <row r="468" spans="2:23" x14ac:dyDescent="0.55000000000000004">
      <c r="B468" s="194" t="s">
        <v>981</v>
      </c>
      <c r="C468" s="25"/>
      <c r="D468" s="128"/>
      <c r="E468" s="6"/>
      <c r="F468" s="101"/>
      <c r="G468" s="101"/>
      <c r="H468" s="137"/>
      <c r="I468" s="6"/>
      <c r="J468" s="100">
        <f t="shared" si="42"/>
        <v>0</v>
      </c>
      <c r="K468" s="100">
        <f t="shared" si="43"/>
        <v>0</v>
      </c>
      <c r="L468" s="88">
        <f>K468*係数!$H$30</f>
        <v>0</v>
      </c>
      <c r="M468" s="25"/>
      <c r="N468" s="6"/>
      <c r="O468" s="6"/>
      <c r="P468" s="137"/>
      <c r="Q468" s="6"/>
      <c r="R468" s="533">
        <f t="shared" si="44"/>
        <v>0</v>
      </c>
      <c r="S468" s="12">
        <f t="shared" si="45"/>
        <v>0</v>
      </c>
      <c r="T468" s="88">
        <f>S468*係数!$H$30</f>
        <v>0</v>
      </c>
      <c r="U468" s="12">
        <f t="shared" si="46"/>
        <v>0</v>
      </c>
      <c r="V468" s="545">
        <f>U468*係数!$C$30*0.0000258</f>
        <v>0</v>
      </c>
      <c r="W468" s="543">
        <f t="shared" si="47"/>
        <v>0</v>
      </c>
    </row>
    <row r="469" spans="2:23" x14ac:dyDescent="0.55000000000000004">
      <c r="B469" s="194" t="s">
        <v>982</v>
      </c>
      <c r="C469" s="25"/>
      <c r="D469" s="128"/>
      <c r="E469" s="6"/>
      <c r="F469" s="101"/>
      <c r="G469" s="101"/>
      <c r="H469" s="137"/>
      <c r="I469" s="6"/>
      <c r="J469" s="100">
        <f t="shared" si="42"/>
        <v>0</v>
      </c>
      <c r="K469" s="100">
        <f t="shared" si="43"/>
        <v>0</v>
      </c>
      <c r="L469" s="88">
        <f>K469*係数!$H$30</f>
        <v>0</v>
      </c>
      <c r="M469" s="25"/>
      <c r="N469" s="6"/>
      <c r="O469" s="6"/>
      <c r="P469" s="137"/>
      <c r="Q469" s="6"/>
      <c r="R469" s="533">
        <f t="shared" si="44"/>
        <v>0</v>
      </c>
      <c r="S469" s="12">
        <f t="shared" si="45"/>
        <v>0</v>
      </c>
      <c r="T469" s="88">
        <f>S469*係数!$H$30</f>
        <v>0</v>
      </c>
      <c r="U469" s="12">
        <f t="shared" si="46"/>
        <v>0</v>
      </c>
      <c r="V469" s="545">
        <f>U469*係数!$C$30*0.0000258</f>
        <v>0</v>
      </c>
      <c r="W469" s="543">
        <f t="shared" si="47"/>
        <v>0</v>
      </c>
    </row>
    <row r="470" spans="2:23" x14ac:dyDescent="0.55000000000000004">
      <c r="B470" s="194" t="s">
        <v>983</v>
      </c>
      <c r="C470" s="25"/>
      <c r="D470" s="128"/>
      <c r="E470" s="6"/>
      <c r="F470" s="101"/>
      <c r="G470" s="101"/>
      <c r="H470" s="137"/>
      <c r="I470" s="6"/>
      <c r="J470" s="100">
        <f t="shared" si="42"/>
        <v>0</v>
      </c>
      <c r="K470" s="100">
        <f t="shared" si="43"/>
        <v>0</v>
      </c>
      <c r="L470" s="88">
        <f>K470*係数!$H$30</f>
        <v>0</v>
      </c>
      <c r="M470" s="25"/>
      <c r="N470" s="6"/>
      <c r="O470" s="6"/>
      <c r="P470" s="137"/>
      <c r="Q470" s="6"/>
      <c r="R470" s="533">
        <f t="shared" si="44"/>
        <v>0</v>
      </c>
      <c r="S470" s="12">
        <f t="shared" si="45"/>
        <v>0</v>
      </c>
      <c r="T470" s="88">
        <f>S470*係数!$H$30</f>
        <v>0</v>
      </c>
      <c r="U470" s="12">
        <f t="shared" si="46"/>
        <v>0</v>
      </c>
      <c r="V470" s="545">
        <f>U470*係数!$C$30*0.0000258</f>
        <v>0</v>
      </c>
      <c r="W470" s="543">
        <f t="shared" si="47"/>
        <v>0</v>
      </c>
    </row>
    <row r="471" spans="2:23" x14ac:dyDescent="0.55000000000000004">
      <c r="B471" s="194" t="s">
        <v>984</v>
      </c>
      <c r="C471" s="25"/>
      <c r="D471" s="128"/>
      <c r="E471" s="6"/>
      <c r="F471" s="101"/>
      <c r="G471" s="101"/>
      <c r="H471" s="137"/>
      <c r="I471" s="6"/>
      <c r="J471" s="100">
        <f t="shared" si="42"/>
        <v>0</v>
      </c>
      <c r="K471" s="100">
        <f t="shared" si="43"/>
        <v>0</v>
      </c>
      <c r="L471" s="88">
        <f>K471*係数!$H$30</f>
        <v>0</v>
      </c>
      <c r="M471" s="25"/>
      <c r="N471" s="6"/>
      <c r="O471" s="6"/>
      <c r="P471" s="137"/>
      <c r="Q471" s="6"/>
      <c r="R471" s="533">
        <f t="shared" si="44"/>
        <v>0</v>
      </c>
      <c r="S471" s="12">
        <f t="shared" si="45"/>
        <v>0</v>
      </c>
      <c r="T471" s="88">
        <f>S471*係数!$H$30</f>
        <v>0</v>
      </c>
      <c r="U471" s="12">
        <f t="shared" si="46"/>
        <v>0</v>
      </c>
      <c r="V471" s="545">
        <f>U471*係数!$C$30*0.0000258</f>
        <v>0</v>
      </c>
      <c r="W471" s="543">
        <f t="shared" si="47"/>
        <v>0</v>
      </c>
    </row>
    <row r="472" spans="2:23" x14ac:dyDescent="0.55000000000000004">
      <c r="B472" s="194" t="s">
        <v>985</v>
      </c>
      <c r="C472" s="25"/>
      <c r="D472" s="128"/>
      <c r="E472" s="6"/>
      <c r="F472" s="101"/>
      <c r="G472" s="101"/>
      <c r="H472" s="137"/>
      <c r="I472" s="6"/>
      <c r="J472" s="100">
        <f t="shared" si="42"/>
        <v>0</v>
      </c>
      <c r="K472" s="100">
        <f t="shared" si="43"/>
        <v>0</v>
      </c>
      <c r="L472" s="88">
        <f>K472*係数!$H$30</f>
        <v>0</v>
      </c>
      <c r="M472" s="25"/>
      <c r="N472" s="6"/>
      <c r="O472" s="6"/>
      <c r="P472" s="137"/>
      <c r="Q472" s="6"/>
      <c r="R472" s="533">
        <f t="shared" si="44"/>
        <v>0</v>
      </c>
      <c r="S472" s="12">
        <f t="shared" si="45"/>
        <v>0</v>
      </c>
      <c r="T472" s="88">
        <f>S472*係数!$H$30</f>
        <v>0</v>
      </c>
      <c r="U472" s="12">
        <f t="shared" si="46"/>
        <v>0</v>
      </c>
      <c r="V472" s="545">
        <f>U472*係数!$C$30*0.0000258</f>
        <v>0</v>
      </c>
      <c r="W472" s="543">
        <f t="shared" si="47"/>
        <v>0</v>
      </c>
    </row>
    <row r="473" spans="2:23" x14ac:dyDescent="0.55000000000000004">
      <c r="B473" s="194" t="s">
        <v>986</v>
      </c>
      <c r="C473" s="25"/>
      <c r="D473" s="128"/>
      <c r="E473" s="6"/>
      <c r="F473" s="101"/>
      <c r="G473" s="101"/>
      <c r="H473" s="137"/>
      <c r="I473" s="6"/>
      <c r="J473" s="100">
        <f t="shared" si="42"/>
        <v>0</v>
      </c>
      <c r="K473" s="100">
        <f t="shared" si="43"/>
        <v>0</v>
      </c>
      <c r="L473" s="88">
        <f>K473*係数!$H$30</f>
        <v>0</v>
      </c>
      <c r="M473" s="25"/>
      <c r="N473" s="6"/>
      <c r="O473" s="6"/>
      <c r="P473" s="137"/>
      <c r="Q473" s="6"/>
      <c r="R473" s="533">
        <f t="shared" si="44"/>
        <v>0</v>
      </c>
      <c r="S473" s="12">
        <f t="shared" si="45"/>
        <v>0</v>
      </c>
      <c r="T473" s="88">
        <f>S473*係数!$H$30</f>
        <v>0</v>
      </c>
      <c r="U473" s="12">
        <f t="shared" si="46"/>
        <v>0</v>
      </c>
      <c r="V473" s="545">
        <f>U473*係数!$C$30*0.0000258</f>
        <v>0</v>
      </c>
      <c r="W473" s="543">
        <f t="shared" si="47"/>
        <v>0</v>
      </c>
    </row>
    <row r="474" spans="2:23" x14ac:dyDescent="0.55000000000000004">
      <c r="B474" s="194" t="s">
        <v>987</v>
      </c>
      <c r="C474" s="25"/>
      <c r="D474" s="128"/>
      <c r="E474" s="6"/>
      <c r="F474" s="101"/>
      <c r="G474" s="101"/>
      <c r="H474" s="137"/>
      <c r="I474" s="6"/>
      <c r="J474" s="100">
        <f t="shared" si="42"/>
        <v>0</v>
      </c>
      <c r="K474" s="100">
        <f t="shared" si="43"/>
        <v>0</v>
      </c>
      <c r="L474" s="88">
        <f>K474*係数!$H$30</f>
        <v>0</v>
      </c>
      <c r="M474" s="25"/>
      <c r="N474" s="6"/>
      <c r="O474" s="6"/>
      <c r="P474" s="137"/>
      <c r="Q474" s="6"/>
      <c r="R474" s="533">
        <f t="shared" si="44"/>
        <v>0</v>
      </c>
      <c r="S474" s="12">
        <f t="shared" si="45"/>
        <v>0</v>
      </c>
      <c r="T474" s="88">
        <f>S474*係数!$H$30</f>
        <v>0</v>
      </c>
      <c r="U474" s="12">
        <f t="shared" si="46"/>
        <v>0</v>
      </c>
      <c r="V474" s="545">
        <f>U474*係数!$C$30*0.0000258</f>
        <v>0</v>
      </c>
      <c r="W474" s="543">
        <f t="shared" si="47"/>
        <v>0</v>
      </c>
    </row>
    <row r="475" spans="2:23" x14ac:dyDescent="0.55000000000000004">
      <c r="B475" s="194" t="s">
        <v>988</v>
      </c>
      <c r="C475" s="25"/>
      <c r="D475" s="128"/>
      <c r="E475" s="6"/>
      <c r="F475" s="101"/>
      <c r="G475" s="101"/>
      <c r="H475" s="137"/>
      <c r="I475" s="6"/>
      <c r="J475" s="100">
        <f t="shared" si="42"/>
        <v>0</v>
      </c>
      <c r="K475" s="100">
        <f t="shared" si="43"/>
        <v>0</v>
      </c>
      <c r="L475" s="88">
        <f>K475*係数!$H$30</f>
        <v>0</v>
      </c>
      <c r="M475" s="25"/>
      <c r="N475" s="6"/>
      <c r="O475" s="6"/>
      <c r="P475" s="137"/>
      <c r="Q475" s="6"/>
      <c r="R475" s="533">
        <f t="shared" si="44"/>
        <v>0</v>
      </c>
      <c r="S475" s="12">
        <f t="shared" si="45"/>
        <v>0</v>
      </c>
      <c r="T475" s="88">
        <f>S475*係数!$H$30</f>
        <v>0</v>
      </c>
      <c r="U475" s="12">
        <f t="shared" si="46"/>
        <v>0</v>
      </c>
      <c r="V475" s="545">
        <f>U475*係数!$C$30*0.0000258</f>
        <v>0</v>
      </c>
      <c r="W475" s="543">
        <f t="shared" si="47"/>
        <v>0</v>
      </c>
    </row>
    <row r="476" spans="2:23" x14ac:dyDescent="0.55000000000000004">
      <c r="B476" s="194" t="s">
        <v>989</v>
      </c>
      <c r="C476" s="25"/>
      <c r="D476" s="128"/>
      <c r="E476" s="6"/>
      <c r="F476" s="101"/>
      <c r="G476" s="101"/>
      <c r="H476" s="137"/>
      <c r="I476" s="6"/>
      <c r="J476" s="100">
        <f t="shared" si="42"/>
        <v>0</v>
      </c>
      <c r="K476" s="100">
        <f t="shared" si="43"/>
        <v>0</v>
      </c>
      <c r="L476" s="88">
        <f>K476*係数!$H$30</f>
        <v>0</v>
      </c>
      <c r="M476" s="25"/>
      <c r="N476" s="6"/>
      <c r="O476" s="6"/>
      <c r="P476" s="137"/>
      <c r="Q476" s="6"/>
      <c r="R476" s="533">
        <f t="shared" si="44"/>
        <v>0</v>
      </c>
      <c r="S476" s="12">
        <f t="shared" si="45"/>
        <v>0</v>
      </c>
      <c r="T476" s="88">
        <f>S476*係数!$H$30</f>
        <v>0</v>
      </c>
      <c r="U476" s="12">
        <f t="shared" si="46"/>
        <v>0</v>
      </c>
      <c r="V476" s="545">
        <f>U476*係数!$C$30*0.0000258</f>
        <v>0</v>
      </c>
      <c r="W476" s="543">
        <f t="shared" si="47"/>
        <v>0</v>
      </c>
    </row>
    <row r="477" spans="2:23" x14ac:dyDescent="0.55000000000000004">
      <c r="B477" s="194" t="s">
        <v>990</v>
      </c>
      <c r="C477" s="25"/>
      <c r="D477" s="128"/>
      <c r="E477" s="6"/>
      <c r="F477" s="101"/>
      <c r="G477" s="101"/>
      <c r="H477" s="137"/>
      <c r="I477" s="6"/>
      <c r="J477" s="100">
        <f t="shared" si="42"/>
        <v>0</v>
      </c>
      <c r="K477" s="100">
        <f t="shared" si="43"/>
        <v>0</v>
      </c>
      <c r="L477" s="88">
        <f>K477*係数!$H$30</f>
        <v>0</v>
      </c>
      <c r="M477" s="25"/>
      <c r="N477" s="6"/>
      <c r="O477" s="6"/>
      <c r="P477" s="137"/>
      <c r="Q477" s="6"/>
      <c r="R477" s="533">
        <f t="shared" si="44"/>
        <v>0</v>
      </c>
      <c r="S477" s="12">
        <f t="shared" si="45"/>
        <v>0</v>
      </c>
      <c r="T477" s="88">
        <f>S477*係数!$H$30</f>
        <v>0</v>
      </c>
      <c r="U477" s="12">
        <f t="shared" si="46"/>
        <v>0</v>
      </c>
      <c r="V477" s="545">
        <f>U477*係数!$C$30*0.0000258</f>
        <v>0</v>
      </c>
      <c r="W477" s="543">
        <f t="shared" si="47"/>
        <v>0</v>
      </c>
    </row>
    <row r="478" spans="2:23" x14ac:dyDescent="0.55000000000000004">
      <c r="B478" s="194" t="s">
        <v>991</v>
      </c>
      <c r="C478" s="25"/>
      <c r="D478" s="128"/>
      <c r="E478" s="6"/>
      <c r="F478" s="101"/>
      <c r="G478" s="101"/>
      <c r="H478" s="137"/>
      <c r="I478" s="6"/>
      <c r="J478" s="100">
        <f t="shared" si="42"/>
        <v>0</v>
      </c>
      <c r="K478" s="100">
        <f t="shared" si="43"/>
        <v>0</v>
      </c>
      <c r="L478" s="88">
        <f>K478*係数!$H$30</f>
        <v>0</v>
      </c>
      <c r="M478" s="25"/>
      <c r="N478" s="6"/>
      <c r="O478" s="6"/>
      <c r="P478" s="137"/>
      <c r="Q478" s="6"/>
      <c r="R478" s="533">
        <f t="shared" si="44"/>
        <v>0</v>
      </c>
      <c r="S478" s="12">
        <f t="shared" si="45"/>
        <v>0</v>
      </c>
      <c r="T478" s="88">
        <f>S478*係数!$H$30</f>
        <v>0</v>
      </c>
      <c r="U478" s="12">
        <f t="shared" si="46"/>
        <v>0</v>
      </c>
      <c r="V478" s="545">
        <f>U478*係数!$C$30*0.0000258</f>
        <v>0</v>
      </c>
      <c r="W478" s="543">
        <f t="shared" si="47"/>
        <v>0</v>
      </c>
    </row>
    <row r="479" spans="2:23" x14ac:dyDescent="0.55000000000000004">
      <c r="B479" s="194" t="s">
        <v>992</v>
      </c>
      <c r="C479" s="25"/>
      <c r="D479" s="128"/>
      <c r="E479" s="6"/>
      <c r="F479" s="101"/>
      <c r="G479" s="101"/>
      <c r="H479" s="137"/>
      <c r="I479" s="6"/>
      <c r="J479" s="100">
        <f t="shared" si="42"/>
        <v>0</v>
      </c>
      <c r="K479" s="100">
        <f t="shared" si="43"/>
        <v>0</v>
      </c>
      <c r="L479" s="88">
        <f>K479*係数!$H$30</f>
        <v>0</v>
      </c>
      <c r="M479" s="25"/>
      <c r="N479" s="6"/>
      <c r="O479" s="6"/>
      <c r="P479" s="137"/>
      <c r="Q479" s="6"/>
      <c r="R479" s="533">
        <f t="shared" si="44"/>
        <v>0</v>
      </c>
      <c r="S479" s="12">
        <f t="shared" si="45"/>
        <v>0</v>
      </c>
      <c r="T479" s="88">
        <f>S479*係数!$H$30</f>
        <v>0</v>
      </c>
      <c r="U479" s="12">
        <f t="shared" si="46"/>
        <v>0</v>
      </c>
      <c r="V479" s="545">
        <f>U479*係数!$C$30*0.0000258</f>
        <v>0</v>
      </c>
      <c r="W479" s="543">
        <f t="shared" si="47"/>
        <v>0</v>
      </c>
    </row>
    <row r="480" spans="2:23" x14ac:dyDescent="0.55000000000000004">
      <c r="B480" s="194" t="s">
        <v>993</v>
      </c>
      <c r="C480" s="25"/>
      <c r="D480" s="128"/>
      <c r="E480" s="6"/>
      <c r="F480" s="101"/>
      <c r="G480" s="101"/>
      <c r="H480" s="137"/>
      <c r="I480" s="6"/>
      <c r="J480" s="100">
        <f t="shared" si="42"/>
        <v>0</v>
      </c>
      <c r="K480" s="100">
        <f t="shared" si="43"/>
        <v>0</v>
      </c>
      <c r="L480" s="88">
        <f>K480*係数!$H$30</f>
        <v>0</v>
      </c>
      <c r="M480" s="25"/>
      <c r="N480" s="6"/>
      <c r="O480" s="6"/>
      <c r="P480" s="137"/>
      <c r="Q480" s="6"/>
      <c r="R480" s="533">
        <f t="shared" si="44"/>
        <v>0</v>
      </c>
      <c r="S480" s="12">
        <f t="shared" si="45"/>
        <v>0</v>
      </c>
      <c r="T480" s="88">
        <f>S480*係数!$H$30</f>
        <v>0</v>
      </c>
      <c r="U480" s="12">
        <f t="shared" si="46"/>
        <v>0</v>
      </c>
      <c r="V480" s="545">
        <f>U480*係数!$C$30*0.0000258</f>
        <v>0</v>
      </c>
      <c r="W480" s="543">
        <f t="shared" si="47"/>
        <v>0</v>
      </c>
    </row>
    <row r="481" spans="2:23" x14ac:dyDescent="0.55000000000000004">
      <c r="B481" s="194" t="s">
        <v>994</v>
      </c>
      <c r="C481" s="25"/>
      <c r="D481" s="128"/>
      <c r="E481" s="6"/>
      <c r="F481" s="101"/>
      <c r="G481" s="101"/>
      <c r="H481" s="137"/>
      <c r="I481" s="6"/>
      <c r="J481" s="100">
        <f t="shared" si="42"/>
        <v>0</v>
      </c>
      <c r="K481" s="100">
        <f t="shared" si="43"/>
        <v>0</v>
      </c>
      <c r="L481" s="88">
        <f>K481*係数!$H$30</f>
        <v>0</v>
      </c>
      <c r="M481" s="25"/>
      <c r="N481" s="6"/>
      <c r="O481" s="6"/>
      <c r="P481" s="137"/>
      <c r="Q481" s="6"/>
      <c r="R481" s="533">
        <f t="shared" si="44"/>
        <v>0</v>
      </c>
      <c r="S481" s="12">
        <f t="shared" si="45"/>
        <v>0</v>
      </c>
      <c r="T481" s="88">
        <f>S481*係数!$H$30</f>
        <v>0</v>
      </c>
      <c r="U481" s="12">
        <f t="shared" si="46"/>
        <v>0</v>
      </c>
      <c r="V481" s="545">
        <f>U481*係数!$C$30*0.0000258</f>
        <v>0</v>
      </c>
      <c r="W481" s="543">
        <f t="shared" si="47"/>
        <v>0</v>
      </c>
    </row>
    <row r="482" spans="2:23" x14ac:dyDescent="0.55000000000000004">
      <c r="B482" s="194" t="s">
        <v>995</v>
      </c>
      <c r="C482" s="25"/>
      <c r="D482" s="128"/>
      <c r="E482" s="6"/>
      <c r="F482" s="101"/>
      <c r="G482" s="101"/>
      <c r="H482" s="137"/>
      <c r="I482" s="6"/>
      <c r="J482" s="100">
        <f t="shared" ref="J482:J517" si="48">IF(H482="",F482*G482,F482*G482*I482/100)</f>
        <v>0</v>
      </c>
      <c r="K482" s="100">
        <f t="shared" ref="K482:K517" si="49">D482*E482*J482/1000</f>
        <v>0</v>
      </c>
      <c r="L482" s="88">
        <f>K482*係数!$H$30</f>
        <v>0</v>
      </c>
      <c r="M482" s="25"/>
      <c r="N482" s="6"/>
      <c r="O482" s="6"/>
      <c r="P482" s="137"/>
      <c r="Q482" s="6"/>
      <c r="R482" s="533">
        <f t="shared" ref="R482:R517" si="50">IF(P482="",J482,J482*Q482/100)</f>
        <v>0</v>
      </c>
      <c r="S482" s="12">
        <f t="shared" ref="S482:S517" si="51">N482*O482*R482/1000</f>
        <v>0</v>
      </c>
      <c r="T482" s="88">
        <f>S482*係数!$H$30</f>
        <v>0</v>
      </c>
      <c r="U482" s="12">
        <f t="shared" ref="U482:U517" si="52">K482-S482</f>
        <v>0</v>
      </c>
      <c r="V482" s="545">
        <f>U482*係数!$C$30*0.0000258</f>
        <v>0</v>
      </c>
      <c r="W482" s="543">
        <f t="shared" ref="W482:W517" si="53">L482-T482</f>
        <v>0</v>
      </c>
    </row>
    <row r="483" spans="2:23" x14ac:dyDescent="0.55000000000000004">
      <c r="B483" s="194" t="s">
        <v>996</v>
      </c>
      <c r="C483" s="25"/>
      <c r="D483" s="128"/>
      <c r="E483" s="6"/>
      <c r="F483" s="101"/>
      <c r="G483" s="101"/>
      <c r="H483" s="137"/>
      <c r="I483" s="6"/>
      <c r="J483" s="100">
        <f t="shared" si="48"/>
        <v>0</v>
      </c>
      <c r="K483" s="100">
        <f t="shared" si="49"/>
        <v>0</v>
      </c>
      <c r="L483" s="88">
        <f>K483*係数!$H$30</f>
        <v>0</v>
      </c>
      <c r="M483" s="25"/>
      <c r="N483" s="6"/>
      <c r="O483" s="6"/>
      <c r="P483" s="137"/>
      <c r="Q483" s="6"/>
      <c r="R483" s="533">
        <f t="shared" si="50"/>
        <v>0</v>
      </c>
      <c r="S483" s="12">
        <f t="shared" si="51"/>
        <v>0</v>
      </c>
      <c r="T483" s="88">
        <f>S483*係数!$H$30</f>
        <v>0</v>
      </c>
      <c r="U483" s="12">
        <f t="shared" si="52"/>
        <v>0</v>
      </c>
      <c r="V483" s="545">
        <f>U483*係数!$C$30*0.0000258</f>
        <v>0</v>
      </c>
      <c r="W483" s="543">
        <f t="shared" si="53"/>
        <v>0</v>
      </c>
    </row>
    <row r="484" spans="2:23" x14ac:dyDescent="0.55000000000000004">
      <c r="B484" s="194" t="s">
        <v>997</v>
      </c>
      <c r="C484" s="25"/>
      <c r="D484" s="128"/>
      <c r="E484" s="6"/>
      <c r="F484" s="101"/>
      <c r="G484" s="101"/>
      <c r="H484" s="137"/>
      <c r="I484" s="6"/>
      <c r="J484" s="100">
        <f t="shared" si="48"/>
        <v>0</v>
      </c>
      <c r="K484" s="100">
        <f t="shared" si="49"/>
        <v>0</v>
      </c>
      <c r="L484" s="88">
        <f>K484*係数!$H$30</f>
        <v>0</v>
      </c>
      <c r="M484" s="25"/>
      <c r="N484" s="6"/>
      <c r="O484" s="6"/>
      <c r="P484" s="137"/>
      <c r="Q484" s="6"/>
      <c r="R484" s="533">
        <f t="shared" si="50"/>
        <v>0</v>
      </c>
      <c r="S484" s="12">
        <f t="shared" si="51"/>
        <v>0</v>
      </c>
      <c r="T484" s="88">
        <f>S484*係数!$H$30</f>
        <v>0</v>
      </c>
      <c r="U484" s="12">
        <f t="shared" si="52"/>
        <v>0</v>
      </c>
      <c r="V484" s="545">
        <f>U484*係数!$C$30*0.0000258</f>
        <v>0</v>
      </c>
      <c r="W484" s="543">
        <f t="shared" si="53"/>
        <v>0</v>
      </c>
    </row>
    <row r="485" spans="2:23" x14ac:dyDescent="0.55000000000000004">
      <c r="B485" s="194" t="s">
        <v>998</v>
      </c>
      <c r="C485" s="25"/>
      <c r="D485" s="128"/>
      <c r="E485" s="6"/>
      <c r="F485" s="101"/>
      <c r="G485" s="101"/>
      <c r="H485" s="137"/>
      <c r="I485" s="6"/>
      <c r="J485" s="100">
        <f t="shared" si="48"/>
        <v>0</v>
      </c>
      <c r="K485" s="100">
        <f t="shared" si="49"/>
        <v>0</v>
      </c>
      <c r="L485" s="88">
        <f>K485*係数!$H$30</f>
        <v>0</v>
      </c>
      <c r="M485" s="25"/>
      <c r="N485" s="6"/>
      <c r="O485" s="6"/>
      <c r="P485" s="137"/>
      <c r="Q485" s="6"/>
      <c r="R485" s="533">
        <f t="shared" si="50"/>
        <v>0</v>
      </c>
      <c r="S485" s="12">
        <f t="shared" si="51"/>
        <v>0</v>
      </c>
      <c r="T485" s="88">
        <f>S485*係数!$H$30</f>
        <v>0</v>
      </c>
      <c r="U485" s="12">
        <f t="shared" si="52"/>
        <v>0</v>
      </c>
      <c r="V485" s="545">
        <f>U485*係数!$C$30*0.0000258</f>
        <v>0</v>
      </c>
      <c r="W485" s="543">
        <f t="shared" si="53"/>
        <v>0</v>
      </c>
    </row>
    <row r="486" spans="2:23" x14ac:dyDescent="0.55000000000000004">
      <c r="B486" s="194" t="s">
        <v>999</v>
      </c>
      <c r="C486" s="25"/>
      <c r="D486" s="128"/>
      <c r="E486" s="6"/>
      <c r="F486" s="101"/>
      <c r="G486" s="101"/>
      <c r="H486" s="137"/>
      <c r="I486" s="6"/>
      <c r="J486" s="100">
        <f t="shared" si="48"/>
        <v>0</v>
      </c>
      <c r="K486" s="100">
        <f t="shared" si="49"/>
        <v>0</v>
      </c>
      <c r="L486" s="88">
        <f>K486*係数!$H$30</f>
        <v>0</v>
      </c>
      <c r="M486" s="25"/>
      <c r="N486" s="6"/>
      <c r="O486" s="6"/>
      <c r="P486" s="137"/>
      <c r="Q486" s="6"/>
      <c r="R486" s="533">
        <f t="shared" si="50"/>
        <v>0</v>
      </c>
      <c r="S486" s="12">
        <f t="shared" si="51"/>
        <v>0</v>
      </c>
      <c r="T486" s="88">
        <f>S486*係数!$H$30</f>
        <v>0</v>
      </c>
      <c r="U486" s="12">
        <f t="shared" si="52"/>
        <v>0</v>
      </c>
      <c r="V486" s="545">
        <f>U486*係数!$C$30*0.0000258</f>
        <v>0</v>
      </c>
      <c r="W486" s="543">
        <f t="shared" si="53"/>
        <v>0</v>
      </c>
    </row>
    <row r="487" spans="2:23" x14ac:dyDescent="0.55000000000000004">
      <c r="B487" s="194" t="s">
        <v>1000</v>
      </c>
      <c r="C487" s="25"/>
      <c r="D487" s="128"/>
      <c r="E487" s="6"/>
      <c r="F487" s="101"/>
      <c r="G487" s="101"/>
      <c r="H487" s="137"/>
      <c r="I487" s="6"/>
      <c r="J487" s="100">
        <f t="shared" si="48"/>
        <v>0</v>
      </c>
      <c r="K487" s="100">
        <f t="shared" si="49"/>
        <v>0</v>
      </c>
      <c r="L487" s="88">
        <f>K487*係数!$H$30</f>
        <v>0</v>
      </c>
      <c r="M487" s="25"/>
      <c r="N487" s="6"/>
      <c r="O487" s="6"/>
      <c r="P487" s="137"/>
      <c r="Q487" s="6"/>
      <c r="R487" s="533">
        <f t="shared" si="50"/>
        <v>0</v>
      </c>
      <c r="S487" s="12">
        <f t="shared" si="51"/>
        <v>0</v>
      </c>
      <c r="T487" s="88">
        <f>S487*係数!$H$30</f>
        <v>0</v>
      </c>
      <c r="U487" s="12">
        <f t="shared" si="52"/>
        <v>0</v>
      </c>
      <c r="V487" s="545">
        <f>U487*係数!$C$30*0.0000258</f>
        <v>0</v>
      </c>
      <c r="W487" s="543">
        <f t="shared" si="53"/>
        <v>0</v>
      </c>
    </row>
    <row r="488" spans="2:23" x14ac:dyDescent="0.55000000000000004">
      <c r="B488" s="194" t="s">
        <v>1001</v>
      </c>
      <c r="C488" s="25"/>
      <c r="D488" s="128"/>
      <c r="E488" s="6"/>
      <c r="F488" s="101"/>
      <c r="G488" s="101"/>
      <c r="H488" s="137"/>
      <c r="I488" s="6"/>
      <c r="J488" s="100">
        <f t="shared" si="48"/>
        <v>0</v>
      </c>
      <c r="K488" s="100">
        <f t="shared" si="49"/>
        <v>0</v>
      </c>
      <c r="L488" s="88">
        <f>K488*係数!$H$30</f>
        <v>0</v>
      </c>
      <c r="M488" s="25"/>
      <c r="N488" s="6"/>
      <c r="O488" s="6"/>
      <c r="P488" s="137"/>
      <c r="Q488" s="6"/>
      <c r="R488" s="533">
        <f t="shared" si="50"/>
        <v>0</v>
      </c>
      <c r="S488" s="12">
        <f t="shared" si="51"/>
        <v>0</v>
      </c>
      <c r="T488" s="88">
        <f>S488*係数!$H$30</f>
        <v>0</v>
      </c>
      <c r="U488" s="12">
        <f t="shared" si="52"/>
        <v>0</v>
      </c>
      <c r="V488" s="545">
        <f>U488*係数!$C$30*0.0000258</f>
        <v>0</v>
      </c>
      <c r="W488" s="543">
        <f t="shared" si="53"/>
        <v>0</v>
      </c>
    </row>
    <row r="489" spans="2:23" x14ac:dyDescent="0.55000000000000004">
      <c r="B489" s="194" t="s">
        <v>1002</v>
      </c>
      <c r="C489" s="25"/>
      <c r="D489" s="128"/>
      <c r="E489" s="6"/>
      <c r="F489" s="101"/>
      <c r="G489" s="101"/>
      <c r="H489" s="137"/>
      <c r="I489" s="6"/>
      <c r="J489" s="100">
        <f t="shared" si="48"/>
        <v>0</v>
      </c>
      <c r="K489" s="100">
        <f t="shared" si="49"/>
        <v>0</v>
      </c>
      <c r="L489" s="88">
        <f>K489*係数!$H$30</f>
        <v>0</v>
      </c>
      <c r="M489" s="25"/>
      <c r="N489" s="6"/>
      <c r="O489" s="6"/>
      <c r="P489" s="137"/>
      <c r="Q489" s="6"/>
      <c r="R489" s="533">
        <f t="shared" si="50"/>
        <v>0</v>
      </c>
      <c r="S489" s="12">
        <f t="shared" si="51"/>
        <v>0</v>
      </c>
      <c r="T489" s="88">
        <f>S489*係数!$H$30</f>
        <v>0</v>
      </c>
      <c r="U489" s="12">
        <f t="shared" si="52"/>
        <v>0</v>
      </c>
      <c r="V489" s="545">
        <f>U489*係数!$C$30*0.0000258</f>
        <v>0</v>
      </c>
      <c r="W489" s="543">
        <f t="shared" si="53"/>
        <v>0</v>
      </c>
    </row>
    <row r="490" spans="2:23" x14ac:dyDescent="0.55000000000000004">
      <c r="B490" s="194" t="s">
        <v>1003</v>
      </c>
      <c r="C490" s="25"/>
      <c r="D490" s="128"/>
      <c r="E490" s="6"/>
      <c r="F490" s="101"/>
      <c r="G490" s="101"/>
      <c r="H490" s="137"/>
      <c r="I490" s="6"/>
      <c r="J490" s="100">
        <f t="shared" si="48"/>
        <v>0</v>
      </c>
      <c r="K490" s="100">
        <f t="shared" si="49"/>
        <v>0</v>
      </c>
      <c r="L490" s="88">
        <f>K490*係数!$H$30</f>
        <v>0</v>
      </c>
      <c r="M490" s="25"/>
      <c r="N490" s="6"/>
      <c r="O490" s="6"/>
      <c r="P490" s="137"/>
      <c r="Q490" s="6"/>
      <c r="R490" s="533">
        <f t="shared" si="50"/>
        <v>0</v>
      </c>
      <c r="S490" s="12">
        <f t="shared" si="51"/>
        <v>0</v>
      </c>
      <c r="T490" s="88">
        <f>S490*係数!$H$30</f>
        <v>0</v>
      </c>
      <c r="U490" s="12">
        <f t="shared" si="52"/>
        <v>0</v>
      </c>
      <c r="V490" s="545">
        <f>U490*係数!$C$30*0.0000258</f>
        <v>0</v>
      </c>
      <c r="W490" s="543">
        <f t="shared" si="53"/>
        <v>0</v>
      </c>
    </row>
    <row r="491" spans="2:23" x14ac:dyDescent="0.55000000000000004">
      <c r="B491" s="194" t="s">
        <v>1004</v>
      </c>
      <c r="C491" s="25"/>
      <c r="D491" s="128"/>
      <c r="E491" s="6"/>
      <c r="F491" s="101"/>
      <c r="G491" s="101"/>
      <c r="H491" s="137"/>
      <c r="I491" s="6"/>
      <c r="J491" s="100">
        <f t="shared" si="48"/>
        <v>0</v>
      </c>
      <c r="K491" s="100">
        <f t="shared" si="49"/>
        <v>0</v>
      </c>
      <c r="L491" s="88">
        <f>K491*係数!$H$30</f>
        <v>0</v>
      </c>
      <c r="M491" s="25"/>
      <c r="N491" s="6"/>
      <c r="O491" s="6"/>
      <c r="P491" s="137"/>
      <c r="Q491" s="6"/>
      <c r="R491" s="533">
        <f t="shared" si="50"/>
        <v>0</v>
      </c>
      <c r="S491" s="12">
        <f t="shared" si="51"/>
        <v>0</v>
      </c>
      <c r="T491" s="88">
        <f>S491*係数!$H$30</f>
        <v>0</v>
      </c>
      <c r="U491" s="12">
        <f t="shared" si="52"/>
        <v>0</v>
      </c>
      <c r="V491" s="545">
        <f>U491*係数!$C$30*0.0000258</f>
        <v>0</v>
      </c>
      <c r="W491" s="543">
        <f t="shared" si="53"/>
        <v>0</v>
      </c>
    </row>
    <row r="492" spans="2:23" x14ac:dyDescent="0.55000000000000004">
      <c r="B492" s="194" t="s">
        <v>1005</v>
      </c>
      <c r="C492" s="25"/>
      <c r="D492" s="128"/>
      <c r="E492" s="6"/>
      <c r="F492" s="101"/>
      <c r="G492" s="101"/>
      <c r="H492" s="137"/>
      <c r="I492" s="6"/>
      <c r="J492" s="100">
        <f t="shared" si="48"/>
        <v>0</v>
      </c>
      <c r="K492" s="100">
        <f t="shared" si="49"/>
        <v>0</v>
      </c>
      <c r="L492" s="88">
        <f>K492*係数!$H$30</f>
        <v>0</v>
      </c>
      <c r="M492" s="25"/>
      <c r="N492" s="6"/>
      <c r="O492" s="6"/>
      <c r="P492" s="137"/>
      <c r="Q492" s="6"/>
      <c r="R492" s="533">
        <f t="shared" si="50"/>
        <v>0</v>
      </c>
      <c r="S492" s="12">
        <f t="shared" si="51"/>
        <v>0</v>
      </c>
      <c r="T492" s="88">
        <f>S492*係数!$H$30</f>
        <v>0</v>
      </c>
      <c r="U492" s="12">
        <f t="shared" si="52"/>
        <v>0</v>
      </c>
      <c r="V492" s="545">
        <f>U492*係数!$C$30*0.0000258</f>
        <v>0</v>
      </c>
      <c r="W492" s="543">
        <f t="shared" si="53"/>
        <v>0</v>
      </c>
    </row>
    <row r="493" spans="2:23" x14ac:dyDescent="0.55000000000000004">
      <c r="B493" s="194" t="s">
        <v>1006</v>
      </c>
      <c r="C493" s="25"/>
      <c r="D493" s="128"/>
      <c r="E493" s="6"/>
      <c r="F493" s="101"/>
      <c r="G493" s="101"/>
      <c r="H493" s="137"/>
      <c r="I493" s="6"/>
      <c r="J493" s="100">
        <f t="shared" si="48"/>
        <v>0</v>
      </c>
      <c r="K493" s="100">
        <f t="shared" si="49"/>
        <v>0</v>
      </c>
      <c r="L493" s="88">
        <f>K493*係数!$H$30</f>
        <v>0</v>
      </c>
      <c r="M493" s="25"/>
      <c r="N493" s="6"/>
      <c r="O493" s="6"/>
      <c r="P493" s="137"/>
      <c r="Q493" s="6"/>
      <c r="R493" s="533">
        <f t="shared" si="50"/>
        <v>0</v>
      </c>
      <c r="S493" s="12">
        <f t="shared" si="51"/>
        <v>0</v>
      </c>
      <c r="T493" s="88">
        <f>S493*係数!$H$30</f>
        <v>0</v>
      </c>
      <c r="U493" s="12">
        <f t="shared" si="52"/>
        <v>0</v>
      </c>
      <c r="V493" s="545">
        <f>U493*係数!$C$30*0.0000258</f>
        <v>0</v>
      </c>
      <c r="W493" s="543">
        <f t="shared" si="53"/>
        <v>0</v>
      </c>
    </row>
    <row r="494" spans="2:23" x14ac:dyDescent="0.55000000000000004">
      <c r="B494" s="194" t="s">
        <v>1007</v>
      </c>
      <c r="C494" s="25"/>
      <c r="D494" s="128"/>
      <c r="E494" s="6"/>
      <c r="F494" s="101"/>
      <c r="G494" s="101"/>
      <c r="H494" s="137"/>
      <c r="I494" s="6"/>
      <c r="J494" s="100">
        <f t="shared" si="48"/>
        <v>0</v>
      </c>
      <c r="K494" s="100">
        <f t="shared" si="49"/>
        <v>0</v>
      </c>
      <c r="L494" s="88">
        <f>K494*係数!$H$30</f>
        <v>0</v>
      </c>
      <c r="M494" s="25"/>
      <c r="N494" s="6"/>
      <c r="O494" s="6"/>
      <c r="P494" s="137"/>
      <c r="Q494" s="6"/>
      <c r="R494" s="533">
        <f t="shared" si="50"/>
        <v>0</v>
      </c>
      <c r="S494" s="12">
        <f t="shared" si="51"/>
        <v>0</v>
      </c>
      <c r="T494" s="88">
        <f>S494*係数!$H$30</f>
        <v>0</v>
      </c>
      <c r="U494" s="12">
        <f t="shared" si="52"/>
        <v>0</v>
      </c>
      <c r="V494" s="545">
        <f>U494*係数!$C$30*0.0000258</f>
        <v>0</v>
      </c>
      <c r="W494" s="543">
        <f t="shared" si="53"/>
        <v>0</v>
      </c>
    </row>
    <row r="495" spans="2:23" x14ac:dyDescent="0.55000000000000004">
      <c r="B495" s="194" t="s">
        <v>1008</v>
      </c>
      <c r="C495" s="25"/>
      <c r="D495" s="128"/>
      <c r="E495" s="6"/>
      <c r="F495" s="101"/>
      <c r="G495" s="101"/>
      <c r="H495" s="137"/>
      <c r="I495" s="6"/>
      <c r="J495" s="100">
        <f t="shared" si="48"/>
        <v>0</v>
      </c>
      <c r="K495" s="100">
        <f t="shared" si="49"/>
        <v>0</v>
      </c>
      <c r="L495" s="88">
        <f>K495*係数!$H$30</f>
        <v>0</v>
      </c>
      <c r="M495" s="25"/>
      <c r="N495" s="6"/>
      <c r="O495" s="6"/>
      <c r="P495" s="137"/>
      <c r="Q495" s="6"/>
      <c r="R495" s="533">
        <f t="shared" si="50"/>
        <v>0</v>
      </c>
      <c r="S495" s="12">
        <f t="shared" si="51"/>
        <v>0</v>
      </c>
      <c r="T495" s="88">
        <f>S495*係数!$H$30</f>
        <v>0</v>
      </c>
      <c r="U495" s="12">
        <f t="shared" si="52"/>
        <v>0</v>
      </c>
      <c r="V495" s="545">
        <f>U495*係数!$C$30*0.0000258</f>
        <v>0</v>
      </c>
      <c r="W495" s="543">
        <f t="shared" si="53"/>
        <v>0</v>
      </c>
    </row>
    <row r="496" spans="2:23" x14ac:dyDescent="0.55000000000000004">
      <c r="B496" s="194" t="s">
        <v>1009</v>
      </c>
      <c r="C496" s="25"/>
      <c r="D496" s="128"/>
      <c r="E496" s="6"/>
      <c r="F496" s="101"/>
      <c r="G496" s="101"/>
      <c r="H496" s="137"/>
      <c r="I496" s="6"/>
      <c r="J496" s="100">
        <f t="shared" si="48"/>
        <v>0</v>
      </c>
      <c r="K496" s="100">
        <f t="shared" si="49"/>
        <v>0</v>
      </c>
      <c r="L496" s="88">
        <f>K496*係数!$H$30</f>
        <v>0</v>
      </c>
      <c r="M496" s="25"/>
      <c r="N496" s="6"/>
      <c r="O496" s="6"/>
      <c r="P496" s="137"/>
      <c r="Q496" s="6"/>
      <c r="R496" s="533">
        <f t="shared" si="50"/>
        <v>0</v>
      </c>
      <c r="S496" s="12">
        <f t="shared" si="51"/>
        <v>0</v>
      </c>
      <c r="T496" s="88">
        <f>S496*係数!$H$30</f>
        <v>0</v>
      </c>
      <c r="U496" s="12">
        <f t="shared" si="52"/>
        <v>0</v>
      </c>
      <c r="V496" s="545">
        <f>U496*係数!$C$30*0.0000258</f>
        <v>0</v>
      </c>
      <c r="W496" s="543">
        <f t="shared" si="53"/>
        <v>0</v>
      </c>
    </row>
    <row r="497" spans="2:23" x14ac:dyDescent="0.55000000000000004">
      <c r="B497" s="194" t="s">
        <v>1010</v>
      </c>
      <c r="C497" s="25"/>
      <c r="D497" s="128"/>
      <c r="E497" s="6"/>
      <c r="F497" s="101"/>
      <c r="G497" s="101"/>
      <c r="H497" s="137"/>
      <c r="I497" s="6"/>
      <c r="J497" s="100">
        <f t="shared" si="48"/>
        <v>0</v>
      </c>
      <c r="K497" s="100">
        <f t="shared" si="49"/>
        <v>0</v>
      </c>
      <c r="L497" s="88">
        <f>K497*係数!$H$30</f>
        <v>0</v>
      </c>
      <c r="M497" s="25"/>
      <c r="N497" s="6"/>
      <c r="O497" s="6"/>
      <c r="P497" s="137"/>
      <c r="Q497" s="6"/>
      <c r="R497" s="533">
        <f t="shared" si="50"/>
        <v>0</v>
      </c>
      <c r="S497" s="12">
        <f t="shared" si="51"/>
        <v>0</v>
      </c>
      <c r="T497" s="88">
        <f>S497*係数!$H$30</f>
        <v>0</v>
      </c>
      <c r="U497" s="12">
        <f t="shared" si="52"/>
        <v>0</v>
      </c>
      <c r="V497" s="545">
        <f>U497*係数!$C$30*0.0000258</f>
        <v>0</v>
      </c>
      <c r="W497" s="543">
        <f t="shared" si="53"/>
        <v>0</v>
      </c>
    </row>
    <row r="498" spans="2:23" x14ac:dyDescent="0.55000000000000004">
      <c r="B498" s="194" t="s">
        <v>1011</v>
      </c>
      <c r="C498" s="25"/>
      <c r="D498" s="128"/>
      <c r="E498" s="6"/>
      <c r="F498" s="101"/>
      <c r="G498" s="101"/>
      <c r="H498" s="137"/>
      <c r="I498" s="6"/>
      <c r="J498" s="100">
        <f t="shared" si="48"/>
        <v>0</v>
      </c>
      <c r="K498" s="100">
        <f t="shared" si="49"/>
        <v>0</v>
      </c>
      <c r="L498" s="88">
        <f>K498*係数!$H$30</f>
        <v>0</v>
      </c>
      <c r="M498" s="25"/>
      <c r="N498" s="6"/>
      <c r="O498" s="6"/>
      <c r="P498" s="137"/>
      <c r="Q498" s="6"/>
      <c r="R498" s="533">
        <f t="shared" si="50"/>
        <v>0</v>
      </c>
      <c r="S498" s="12">
        <f t="shared" si="51"/>
        <v>0</v>
      </c>
      <c r="T498" s="88">
        <f>S498*係数!$H$30</f>
        <v>0</v>
      </c>
      <c r="U498" s="12">
        <f t="shared" si="52"/>
        <v>0</v>
      </c>
      <c r="V498" s="545">
        <f>U498*係数!$C$30*0.0000258</f>
        <v>0</v>
      </c>
      <c r="W498" s="543">
        <f t="shared" si="53"/>
        <v>0</v>
      </c>
    </row>
    <row r="499" spans="2:23" x14ac:dyDescent="0.55000000000000004">
      <c r="B499" s="194" t="s">
        <v>1012</v>
      </c>
      <c r="C499" s="25"/>
      <c r="D499" s="128"/>
      <c r="E499" s="6"/>
      <c r="F499" s="101"/>
      <c r="G499" s="101"/>
      <c r="H499" s="137"/>
      <c r="I499" s="6"/>
      <c r="J499" s="100">
        <f t="shared" si="48"/>
        <v>0</v>
      </c>
      <c r="K499" s="100">
        <f t="shared" si="49"/>
        <v>0</v>
      </c>
      <c r="L499" s="88">
        <f>K499*係数!$H$30</f>
        <v>0</v>
      </c>
      <c r="M499" s="25"/>
      <c r="N499" s="6"/>
      <c r="O499" s="6"/>
      <c r="P499" s="137"/>
      <c r="Q499" s="6"/>
      <c r="R499" s="533">
        <f t="shared" si="50"/>
        <v>0</v>
      </c>
      <c r="S499" s="12">
        <f t="shared" si="51"/>
        <v>0</v>
      </c>
      <c r="T499" s="88">
        <f>S499*係数!$H$30</f>
        <v>0</v>
      </c>
      <c r="U499" s="12">
        <f t="shared" si="52"/>
        <v>0</v>
      </c>
      <c r="V499" s="545">
        <f>U499*係数!$C$30*0.0000258</f>
        <v>0</v>
      </c>
      <c r="W499" s="543">
        <f t="shared" si="53"/>
        <v>0</v>
      </c>
    </row>
    <row r="500" spans="2:23" x14ac:dyDescent="0.55000000000000004">
      <c r="B500" s="194" t="s">
        <v>1013</v>
      </c>
      <c r="C500" s="25"/>
      <c r="D500" s="128"/>
      <c r="E500" s="6"/>
      <c r="F500" s="101"/>
      <c r="G500" s="101"/>
      <c r="H500" s="137"/>
      <c r="I500" s="6"/>
      <c r="J500" s="100">
        <f t="shared" si="48"/>
        <v>0</v>
      </c>
      <c r="K500" s="100">
        <f t="shared" si="49"/>
        <v>0</v>
      </c>
      <c r="L500" s="88">
        <f>K500*係数!$H$30</f>
        <v>0</v>
      </c>
      <c r="M500" s="25"/>
      <c r="N500" s="6"/>
      <c r="O500" s="6"/>
      <c r="P500" s="137"/>
      <c r="Q500" s="6"/>
      <c r="R500" s="533">
        <f t="shared" si="50"/>
        <v>0</v>
      </c>
      <c r="S500" s="12">
        <f t="shared" si="51"/>
        <v>0</v>
      </c>
      <c r="T500" s="88">
        <f>S500*係数!$H$30</f>
        <v>0</v>
      </c>
      <c r="U500" s="12">
        <f t="shared" si="52"/>
        <v>0</v>
      </c>
      <c r="V500" s="545">
        <f>U500*係数!$C$30*0.0000258</f>
        <v>0</v>
      </c>
      <c r="W500" s="543">
        <f t="shared" si="53"/>
        <v>0</v>
      </c>
    </row>
    <row r="501" spans="2:23" x14ac:dyDescent="0.55000000000000004">
      <c r="B501" s="194" t="s">
        <v>1014</v>
      </c>
      <c r="C501" s="25"/>
      <c r="D501" s="128"/>
      <c r="E501" s="6"/>
      <c r="F501" s="101"/>
      <c r="G501" s="101"/>
      <c r="H501" s="137"/>
      <c r="I501" s="6"/>
      <c r="J501" s="100">
        <f t="shared" si="48"/>
        <v>0</v>
      </c>
      <c r="K501" s="100">
        <f t="shared" si="49"/>
        <v>0</v>
      </c>
      <c r="L501" s="88">
        <f>K501*係数!$H$30</f>
        <v>0</v>
      </c>
      <c r="M501" s="25"/>
      <c r="N501" s="6"/>
      <c r="O501" s="6"/>
      <c r="P501" s="137"/>
      <c r="Q501" s="6"/>
      <c r="R501" s="533">
        <f t="shared" si="50"/>
        <v>0</v>
      </c>
      <c r="S501" s="12">
        <f t="shared" si="51"/>
        <v>0</v>
      </c>
      <c r="T501" s="88">
        <f>S501*係数!$H$30</f>
        <v>0</v>
      </c>
      <c r="U501" s="12">
        <f t="shared" si="52"/>
        <v>0</v>
      </c>
      <c r="V501" s="545">
        <f>U501*係数!$C$30*0.0000258</f>
        <v>0</v>
      </c>
      <c r="W501" s="543">
        <f t="shared" si="53"/>
        <v>0</v>
      </c>
    </row>
    <row r="502" spans="2:23" x14ac:dyDescent="0.55000000000000004">
      <c r="B502" s="194" t="s">
        <v>1015</v>
      </c>
      <c r="C502" s="25"/>
      <c r="D502" s="128"/>
      <c r="E502" s="6"/>
      <c r="F502" s="101"/>
      <c r="G502" s="101"/>
      <c r="H502" s="137"/>
      <c r="I502" s="6"/>
      <c r="J502" s="100">
        <f t="shared" si="48"/>
        <v>0</v>
      </c>
      <c r="K502" s="100">
        <f t="shared" si="49"/>
        <v>0</v>
      </c>
      <c r="L502" s="88">
        <f>K502*係数!$H$30</f>
        <v>0</v>
      </c>
      <c r="M502" s="25"/>
      <c r="N502" s="6"/>
      <c r="O502" s="6"/>
      <c r="P502" s="137"/>
      <c r="Q502" s="6"/>
      <c r="R502" s="533">
        <f t="shared" si="50"/>
        <v>0</v>
      </c>
      <c r="S502" s="12">
        <f t="shared" si="51"/>
        <v>0</v>
      </c>
      <c r="T502" s="88">
        <f>S502*係数!$H$30</f>
        <v>0</v>
      </c>
      <c r="U502" s="12">
        <f t="shared" si="52"/>
        <v>0</v>
      </c>
      <c r="V502" s="545">
        <f>U502*係数!$C$30*0.0000258</f>
        <v>0</v>
      </c>
      <c r="W502" s="543">
        <f t="shared" si="53"/>
        <v>0</v>
      </c>
    </row>
    <row r="503" spans="2:23" x14ac:dyDescent="0.55000000000000004">
      <c r="B503" s="194" t="s">
        <v>1016</v>
      </c>
      <c r="C503" s="25"/>
      <c r="D503" s="128"/>
      <c r="E503" s="6"/>
      <c r="F503" s="101"/>
      <c r="G503" s="101"/>
      <c r="H503" s="137"/>
      <c r="I503" s="6"/>
      <c r="J503" s="100">
        <f t="shared" si="48"/>
        <v>0</v>
      </c>
      <c r="K503" s="100">
        <f t="shared" si="49"/>
        <v>0</v>
      </c>
      <c r="L503" s="88">
        <f>K503*係数!$H$30</f>
        <v>0</v>
      </c>
      <c r="M503" s="25"/>
      <c r="N503" s="6"/>
      <c r="O503" s="6"/>
      <c r="P503" s="137"/>
      <c r="Q503" s="6"/>
      <c r="R503" s="533">
        <f t="shared" si="50"/>
        <v>0</v>
      </c>
      <c r="S503" s="12">
        <f t="shared" si="51"/>
        <v>0</v>
      </c>
      <c r="T503" s="88">
        <f>S503*係数!$H$30</f>
        <v>0</v>
      </c>
      <c r="U503" s="12">
        <f t="shared" si="52"/>
        <v>0</v>
      </c>
      <c r="V503" s="545">
        <f>U503*係数!$C$30*0.0000258</f>
        <v>0</v>
      </c>
      <c r="W503" s="543">
        <f t="shared" si="53"/>
        <v>0</v>
      </c>
    </row>
    <row r="504" spans="2:23" x14ac:dyDescent="0.55000000000000004">
      <c r="B504" s="194" t="s">
        <v>1017</v>
      </c>
      <c r="C504" s="25"/>
      <c r="D504" s="128"/>
      <c r="E504" s="6"/>
      <c r="F504" s="101"/>
      <c r="G504" s="101"/>
      <c r="H504" s="137"/>
      <c r="I504" s="6"/>
      <c r="J504" s="100">
        <f t="shared" si="48"/>
        <v>0</v>
      </c>
      <c r="K504" s="100">
        <f t="shared" si="49"/>
        <v>0</v>
      </c>
      <c r="L504" s="88">
        <f>K504*係数!$H$30</f>
        <v>0</v>
      </c>
      <c r="M504" s="25"/>
      <c r="N504" s="6"/>
      <c r="O504" s="6"/>
      <c r="P504" s="137"/>
      <c r="Q504" s="6"/>
      <c r="R504" s="533">
        <f t="shared" si="50"/>
        <v>0</v>
      </c>
      <c r="S504" s="12">
        <f t="shared" si="51"/>
        <v>0</v>
      </c>
      <c r="T504" s="88">
        <f>S504*係数!$H$30</f>
        <v>0</v>
      </c>
      <c r="U504" s="12">
        <f t="shared" si="52"/>
        <v>0</v>
      </c>
      <c r="V504" s="545">
        <f>U504*係数!$C$30*0.0000258</f>
        <v>0</v>
      </c>
      <c r="W504" s="543">
        <f t="shared" si="53"/>
        <v>0</v>
      </c>
    </row>
    <row r="505" spans="2:23" x14ac:dyDescent="0.55000000000000004">
      <c r="B505" s="194" t="s">
        <v>1018</v>
      </c>
      <c r="C505" s="25"/>
      <c r="D505" s="128"/>
      <c r="E505" s="6"/>
      <c r="F505" s="101"/>
      <c r="G505" s="101"/>
      <c r="H505" s="137"/>
      <c r="I505" s="6"/>
      <c r="J505" s="100">
        <f t="shared" si="48"/>
        <v>0</v>
      </c>
      <c r="K505" s="100">
        <f t="shared" si="49"/>
        <v>0</v>
      </c>
      <c r="L505" s="88">
        <f>K505*係数!$H$30</f>
        <v>0</v>
      </c>
      <c r="M505" s="25"/>
      <c r="N505" s="6"/>
      <c r="O505" s="6"/>
      <c r="P505" s="137"/>
      <c r="Q505" s="6"/>
      <c r="R505" s="533">
        <f t="shared" si="50"/>
        <v>0</v>
      </c>
      <c r="S505" s="12">
        <f t="shared" si="51"/>
        <v>0</v>
      </c>
      <c r="T505" s="88">
        <f>S505*係数!$H$30</f>
        <v>0</v>
      </c>
      <c r="U505" s="12">
        <f t="shared" si="52"/>
        <v>0</v>
      </c>
      <c r="V505" s="545">
        <f>U505*係数!$C$30*0.0000258</f>
        <v>0</v>
      </c>
      <c r="W505" s="543">
        <f t="shared" si="53"/>
        <v>0</v>
      </c>
    </row>
    <row r="506" spans="2:23" x14ac:dyDescent="0.55000000000000004">
      <c r="B506" s="194" t="s">
        <v>1019</v>
      </c>
      <c r="C506" s="25"/>
      <c r="D506" s="128"/>
      <c r="E506" s="6"/>
      <c r="F506" s="101"/>
      <c r="G506" s="101"/>
      <c r="H506" s="137"/>
      <c r="I506" s="6"/>
      <c r="J506" s="100">
        <f t="shared" si="48"/>
        <v>0</v>
      </c>
      <c r="K506" s="100">
        <f t="shared" si="49"/>
        <v>0</v>
      </c>
      <c r="L506" s="88">
        <f>K506*係数!$H$30</f>
        <v>0</v>
      </c>
      <c r="M506" s="25"/>
      <c r="N506" s="6"/>
      <c r="O506" s="6"/>
      <c r="P506" s="137"/>
      <c r="Q506" s="6"/>
      <c r="R506" s="533">
        <f t="shared" si="50"/>
        <v>0</v>
      </c>
      <c r="S506" s="12">
        <f t="shared" si="51"/>
        <v>0</v>
      </c>
      <c r="T506" s="88">
        <f>S506*係数!$H$30</f>
        <v>0</v>
      </c>
      <c r="U506" s="12">
        <f t="shared" si="52"/>
        <v>0</v>
      </c>
      <c r="V506" s="545">
        <f>U506*係数!$C$30*0.0000258</f>
        <v>0</v>
      </c>
      <c r="W506" s="543">
        <f t="shared" si="53"/>
        <v>0</v>
      </c>
    </row>
    <row r="507" spans="2:23" x14ac:dyDescent="0.55000000000000004">
      <c r="B507" s="194" t="s">
        <v>1020</v>
      </c>
      <c r="C507" s="25"/>
      <c r="D507" s="128"/>
      <c r="E507" s="6"/>
      <c r="F507" s="101"/>
      <c r="G507" s="101"/>
      <c r="H507" s="137"/>
      <c r="I507" s="6"/>
      <c r="J507" s="100">
        <f t="shared" si="48"/>
        <v>0</v>
      </c>
      <c r="K507" s="100">
        <f t="shared" si="49"/>
        <v>0</v>
      </c>
      <c r="L507" s="88">
        <f>K507*係数!$H$30</f>
        <v>0</v>
      </c>
      <c r="M507" s="25"/>
      <c r="N507" s="6"/>
      <c r="O507" s="6"/>
      <c r="P507" s="137"/>
      <c r="Q507" s="6"/>
      <c r="R507" s="533">
        <f t="shared" si="50"/>
        <v>0</v>
      </c>
      <c r="S507" s="12">
        <f t="shared" si="51"/>
        <v>0</v>
      </c>
      <c r="T507" s="88">
        <f>S507*係数!$H$30</f>
        <v>0</v>
      </c>
      <c r="U507" s="12">
        <f t="shared" si="52"/>
        <v>0</v>
      </c>
      <c r="V507" s="545">
        <f>U507*係数!$C$30*0.0000258</f>
        <v>0</v>
      </c>
      <c r="W507" s="543">
        <f t="shared" si="53"/>
        <v>0</v>
      </c>
    </row>
    <row r="508" spans="2:23" x14ac:dyDescent="0.55000000000000004">
      <c r="B508" s="194" t="s">
        <v>1021</v>
      </c>
      <c r="C508" s="25"/>
      <c r="D508" s="128"/>
      <c r="E508" s="6"/>
      <c r="F508" s="101"/>
      <c r="G508" s="101"/>
      <c r="H508" s="137"/>
      <c r="I508" s="6"/>
      <c r="J508" s="100">
        <f t="shared" si="48"/>
        <v>0</v>
      </c>
      <c r="K508" s="100">
        <f t="shared" si="49"/>
        <v>0</v>
      </c>
      <c r="L508" s="88">
        <f>K508*係数!$H$30</f>
        <v>0</v>
      </c>
      <c r="M508" s="25"/>
      <c r="N508" s="6"/>
      <c r="O508" s="6"/>
      <c r="P508" s="137"/>
      <c r="Q508" s="6"/>
      <c r="R508" s="533">
        <f t="shared" si="50"/>
        <v>0</v>
      </c>
      <c r="S508" s="12">
        <f t="shared" si="51"/>
        <v>0</v>
      </c>
      <c r="T508" s="88">
        <f>S508*係数!$H$30</f>
        <v>0</v>
      </c>
      <c r="U508" s="12">
        <f t="shared" si="52"/>
        <v>0</v>
      </c>
      <c r="V508" s="545">
        <f>U508*係数!$C$30*0.0000258</f>
        <v>0</v>
      </c>
      <c r="W508" s="543">
        <f t="shared" si="53"/>
        <v>0</v>
      </c>
    </row>
    <row r="509" spans="2:23" x14ac:dyDescent="0.55000000000000004">
      <c r="B509" s="194" t="s">
        <v>1022</v>
      </c>
      <c r="C509" s="25"/>
      <c r="D509" s="128"/>
      <c r="E509" s="6"/>
      <c r="F509" s="101"/>
      <c r="G509" s="101"/>
      <c r="H509" s="137"/>
      <c r="I509" s="6"/>
      <c r="J509" s="100">
        <f t="shared" si="48"/>
        <v>0</v>
      </c>
      <c r="K509" s="100">
        <f t="shared" si="49"/>
        <v>0</v>
      </c>
      <c r="L509" s="88">
        <f>K509*係数!$H$30</f>
        <v>0</v>
      </c>
      <c r="M509" s="25"/>
      <c r="N509" s="6"/>
      <c r="O509" s="6"/>
      <c r="P509" s="137"/>
      <c r="Q509" s="6"/>
      <c r="R509" s="533">
        <f t="shared" si="50"/>
        <v>0</v>
      </c>
      <c r="S509" s="12">
        <f t="shared" si="51"/>
        <v>0</v>
      </c>
      <c r="T509" s="88">
        <f>S509*係数!$H$30</f>
        <v>0</v>
      </c>
      <c r="U509" s="12">
        <f t="shared" si="52"/>
        <v>0</v>
      </c>
      <c r="V509" s="545">
        <f>U509*係数!$C$30*0.0000258</f>
        <v>0</v>
      </c>
      <c r="W509" s="543">
        <f t="shared" si="53"/>
        <v>0</v>
      </c>
    </row>
    <row r="510" spans="2:23" x14ac:dyDescent="0.55000000000000004">
      <c r="B510" s="194" t="s">
        <v>1023</v>
      </c>
      <c r="C510" s="25"/>
      <c r="D510" s="128"/>
      <c r="E510" s="6"/>
      <c r="F510" s="101"/>
      <c r="G510" s="101"/>
      <c r="H510" s="137"/>
      <c r="I510" s="6"/>
      <c r="J510" s="100">
        <f t="shared" si="48"/>
        <v>0</v>
      </c>
      <c r="K510" s="100">
        <f t="shared" si="49"/>
        <v>0</v>
      </c>
      <c r="L510" s="88">
        <f>K510*係数!$H$30</f>
        <v>0</v>
      </c>
      <c r="M510" s="25"/>
      <c r="N510" s="6"/>
      <c r="O510" s="6"/>
      <c r="P510" s="137"/>
      <c r="Q510" s="6"/>
      <c r="R510" s="533">
        <f t="shared" si="50"/>
        <v>0</v>
      </c>
      <c r="S510" s="12">
        <f t="shared" si="51"/>
        <v>0</v>
      </c>
      <c r="T510" s="88">
        <f>S510*係数!$H$30</f>
        <v>0</v>
      </c>
      <c r="U510" s="12">
        <f t="shared" si="52"/>
        <v>0</v>
      </c>
      <c r="V510" s="545">
        <f>U510*係数!$C$30*0.0000258</f>
        <v>0</v>
      </c>
      <c r="W510" s="543">
        <f t="shared" si="53"/>
        <v>0</v>
      </c>
    </row>
    <row r="511" spans="2:23" x14ac:dyDescent="0.55000000000000004">
      <c r="B511" s="194" t="s">
        <v>1024</v>
      </c>
      <c r="C511" s="25"/>
      <c r="D511" s="128"/>
      <c r="E511" s="6"/>
      <c r="F511" s="101"/>
      <c r="G511" s="101"/>
      <c r="H511" s="137"/>
      <c r="I511" s="6"/>
      <c r="J511" s="100">
        <f t="shared" si="48"/>
        <v>0</v>
      </c>
      <c r="K511" s="100">
        <f t="shared" si="49"/>
        <v>0</v>
      </c>
      <c r="L511" s="88">
        <f>K511*係数!$H$30</f>
        <v>0</v>
      </c>
      <c r="M511" s="25"/>
      <c r="N511" s="6"/>
      <c r="O511" s="6"/>
      <c r="P511" s="137"/>
      <c r="Q511" s="6"/>
      <c r="R511" s="533">
        <f t="shared" si="50"/>
        <v>0</v>
      </c>
      <c r="S511" s="12">
        <f t="shared" si="51"/>
        <v>0</v>
      </c>
      <c r="T511" s="88">
        <f>S511*係数!$H$30</f>
        <v>0</v>
      </c>
      <c r="U511" s="12">
        <f t="shared" si="52"/>
        <v>0</v>
      </c>
      <c r="V511" s="545">
        <f>U511*係数!$C$30*0.0000258</f>
        <v>0</v>
      </c>
      <c r="W511" s="543">
        <f t="shared" si="53"/>
        <v>0</v>
      </c>
    </row>
    <row r="512" spans="2:23" x14ac:dyDescent="0.55000000000000004">
      <c r="B512" s="194" t="s">
        <v>1025</v>
      </c>
      <c r="C512" s="25"/>
      <c r="D512" s="128"/>
      <c r="E512" s="6"/>
      <c r="F512" s="101"/>
      <c r="G512" s="101"/>
      <c r="H512" s="137"/>
      <c r="I512" s="6"/>
      <c r="J512" s="100">
        <f t="shared" si="48"/>
        <v>0</v>
      </c>
      <c r="K512" s="100">
        <f t="shared" si="49"/>
        <v>0</v>
      </c>
      <c r="L512" s="88">
        <f>K512*係数!$H$30</f>
        <v>0</v>
      </c>
      <c r="M512" s="25"/>
      <c r="N512" s="6"/>
      <c r="O512" s="6"/>
      <c r="P512" s="137"/>
      <c r="Q512" s="6"/>
      <c r="R512" s="533">
        <f t="shared" si="50"/>
        <v>0</v>
      </c>
      <c r="S512" s="12">
        <f t="shared" si="51"/>
        <v>0</v>
      </c>
      <c r="T512" s="88">
        <f>S512*係数!$H$30</f>
        <v>0</v>
      </c>
      <c r="U512" s="12">
        <f t="shared" si="52"/>
        <v>0</v>
      </c>
      <c r="V512" s="545">
        <f>U512*係数!$C$30*0.0000258</f>
        <v>0</v>
      </c>
      <c r="W512" s="543">
        <f t="shared" si="53"/>
        <v>0</v>
      </c>
    </row>
    <row r="513" spans="2:23" x14ac:dyDescent="0.55000000000000004">
      <c r="B513" s="194" t="s">
        <v>1026</v>
      </c>
      <c r="C513" s="25"/>
      <c r="D513" s="128"/>
      <c r="E513" s="6"/>
      <c r="F513" s="101"/>
      <c r="G513" s="101"/>
      <c r="H513" s="137"/>
      <c r="I513" s="6"/>
      <c r="J513" s="100">
        <f t="shared" si="48"/>
        <v>0</v>
      </c>
      <c r="K513" s="100">
        <f t="shared" si="49"/>
        <v>0</v>
      </c>
      <c r="L513" s="88">
        <f>K513*係数!$H$30</f>
        <v>0</v>
      </c>
      <c r="M513" s="25"/>
      <c r="N513" s="6"/>
      <c r="O513" s="6"/>
      <c r="P513" s="137"/>
      <c r="Q513" s="6"/>
      <c r="R513" s="533">
        <f t="shared" si="50"/>
        <v>0</v>
      </c>
      <c r="S513" s="12">
        <f t="shared" si="51"/>
        <v>0</v>
      </c>
      <c r="T513" s="88">
        <f>S513*係数!$H$30</f>
        <v>0</v>
      </c>
      <c r="U513" s="12">
        <f t="shared" si="52"/>
        <v>0</v>
      </c>
      <c r="V513" s="545">
        <f>U513*係数!$C$30*0.0000258</f>
        <v>0</v>
      </c>
      <c r="W513" s="543">
        <f t="shared" si="53"/>
        <v>0</v>
      </c>
    </row>
    <row r="514" spans="2:23" x14ac:dyDescent="0.55000000000000004">
      <c r="B514" s="194" t="s">
        <v>1027</v>
      </c>
      <c r="C514" s="25"/>
      <c r="D514" s="128"/>
      <c r="E514" s="6"/>
      <c r="F514" s="101"/>
      <c r="G514" s="101"/>
      <c r="H514" s="137"/>
      <c r="I514" s="6"/>
      <c r="J514" s="100">
        <f t="shared" si="48"/>
        <v>0</v>
      </c>
      <c r="K514" s="100">
        <f t="shared" si="49"/>
        <v>0</v>
      </c>
      <c r="L514" s="88">
        <f>K514*係数!$H$30</f>
        <v>0</v>
      </c>
      <c r="M514" s="25"/>
      <c r="N514" s="6"/>
      <c r="O514" s="6"/>
      <c r="P514" s="137"/>
      <c r="Q514" s="6"/>
      <c r="R514" s="533">
        <f t="shared" si="50"/>
        <v>0</v>
      </c>
      <c r="S514" s="12">
        <f t="shared" si="51"/>
        <v>0</v>
      </c>
      <c r="T514" s="88">
        <f>S514*係数!$H$30</f>
        <v>0</v>
      </c>
      <c r="U514" s="12">
        <f t="shared" si="52"/>
        <v>0</v>
      </c>
      <c r="V514" s="545">
        <f>U514*係数!$C$30*0.0000258</f>
        <v>0</v>
      </c>
      <c r="W514" s="543">
        <f t="shared" si="53"/>
        <v>0</v>
      </c>
    </row>
    <row r="515" spans="2:23" x14ac:dyDescent="0.55000000000000004">
      <c r="B515" s="194" t="s">
        <v>1028</v>
      </c>
      <c r="C515" s="25"/>
      <c r="D515" s="128"/>
      <c r="E515" s="6"/>
      <c r="F515" s="101"/>
      <c r="G515" s="101"/>
      <c r="H515" s="137"/>
      <c r="I515" s="6"/>
      <c r="J515" s="100">
        <f t="shared" si="48"/>
        <v>0</v>
      </c>
      <c r="K515" s="100">
        <f t="shared" si="49"/>
        <v>0</v>
      </c>
      <c r="L515" s="88">
        <f>K515*係数!$H$30</f>
        <v>0</v>
      </c>
      <c r="M515" s="25"/>
      <c r="N515" s="6"/>
      <c r="O515" s="6"/>
      <c r="P515" s="137"/>
      <c r="Q515" s="6"/>
      <c r="R515" s="533">
        <f t="shared" si="50"/>
        <v>0</v>
      </c>
      <c r="S515" s="12">
        <f t="shared" si="51"/>
        <v>0</v>
      </c>
      <c r="T515" s="88">
        <f>S515*係数!$H$30</f>
        <v>0</v>
      </c>
      <c r="U515" s="12">
        <f t="shared" si="52"/>
        <v>0</v>
      </c>
      <c r="V515" s="545">
        <f>U515*係数!$C$30*0.0000258</f>
        <v>0</v>
      </c>
      <c r="W515" s="543">
        <f t="shared" si="53"/>
        <v>0</v>
      </c>
    </row>
    <row r="516" spans="2:23" x14ac:dyDescent="0.55000000000000004">
      <c r="B516" s="194" t="s">
        <v>1029</v>
      </c>
      <c r="C516" s="25"/>
      <c r="D516" s="128"/>
      <c r="E516" s="6"/>
      <c r="F516" s="101"/>
      <c r="G516" s="101"/>
      <c r="H516" s="137"/>
      <c r="I516" s="6"/>
      <c r="J516" s="100">
        <f t="shared" si="48"/>
        <v>0</v>
      </c>
      <c r="K516" s="100">
        <f t="shared" si="49"/>
        <v>0</v>
      </c>
      <c r="L516" s="88">
        <f>K516*係数!$H$30</f>
        <v>0</v>
      </c>
      <c r="M516" s="25"/>
      <c r="N516" s="6"/>
      <c r="O516" s="6"/>
      <c r="P516" s="137"/>
      <c r="Q516" s="6"/>
      <c r="R516" s="533">
        <f t="shared" si="50"/>
        <v>0</v>
      </c>
      <c r="S516" s="12">
        <f t="shared" si="51"/>
        <v>0</v>
      </c>
      <c r="T516" s="88">
        <f>S516*係数!$H$30</f>
        <v>0</v>
      </c>
      <c r="U516" s="12">
        <f t="shared" si="52"/>
        <v>0</v>
      </c>
      <c r="V516" s="545">
        <f>U516*係数!$C$30*0.0000258</f>
        <v>0</v>
      </c>
      <c r="W516" s="543">
        <f t="shared" si="53"/>
        <v>0</v>
      </c>
    </row>
    <row r="517" spans="2:23" x14ac:dyDescent="0.55000000000000004">
      <c r="B517" s="194" t="s">
        <v>1030</v>
      </c>
      <c r="C517" s="25"/>
      <c r="D517" s="128"/>
      <c r="E517" s="6"/>
      <c r="F517" s="101"/>
      <c r="G517" s="101"/>
      <c r="H517" s="137"/>
      <c r="I517" s="6"/>
      <c r="J517" s="100">
        <f t="shared" si="48"/>
        <v>0</v>
      </c>
      <c r="K517" s="100">
        <f t="shared" si="49"/>
        <v>0</v>
      </c>
      <c r="L517" s="88">
        <f>K517*係数!$H$30</f>
        <v>0</v>
      </c>
      <c r="M517" s="25"/>
      <c r="N517" s="6"/>
      <c r="O517" s="6"/>
      <c r="P517" s="137"/>
      <c r="Q517" s="6"/>
      <c r="R517" s="533">
        <f t="shared" si="50"/>
        <v>0</v>
      </c>
      <c r="S517" s="12">
        <f t="shared" si="51"/>
        <v>0</v>
      </c>
      <c r="T517" s="88">
        <f>S517*係数!$H$30</f>
        <v>0</v>
      </c>
      <c r="U517" s="12">
        <f t="shared" si="52"/>
        <v>0</v>
      </c>
      <c r="V517" s="545">
        <f>U517*係数!$C$30*0.0000258</f>
        <v>0</v>
      </c>
      <c r="W517" s="543">
        <f t="shared" si="53"/>
        <v>0</v>
      </c>
    </row>
  </sheetData>
  <sheetProtection password="CC4B" sheet="1" formatCells="0" formatColumns="0"/>
  <mergeCells count="15">
    <mergeCell ref="M4:W4"/>
    <mergeCell ref="M3:W3"/>
    <mergeCell ref="M6:W6"/>
    <mergeCell ref="B13:B14"/>
    <mergeCell ref="D6:E6"/>
    <mergeCell ref="D7:E7"/>
    <mergeCell ref="H7:I7"/>
    <mergeCell ref="H6:I6"/>
    <mergeCell ref="H5:I5"/>
    <mergeCell ref="H4:I4"/>
    <mergeCell ref="H3:I3"/>
    <mergeCell ref="D3:E3"/>
    <mergeCell ref="D4:E4"/>
    <mergeCell ref="D5:E5"/>
    <mergeCell ref="N7:W7"/>
  </mergeCells>
  <phoneticPr fontId="5"/>
  <conditionalFormatting sqref="K7 G7:H7">
    <cfRule type="expression" dxfId="84" priority="5">
      <formula>$G$1="なし"</formula>
    </cfRule>
  </conditionalFormatting>
  <conditionalFormatting sqref="Q18:Q517">
    <cfRule type="expression" dxfId="83" priority="4">
      <formula>$P18&lt;&gt;"○"</formula>
    </cfRule>
  </conditionalFormatting>
  <conditionalFormatting sqref="O17">
    <cfRule type="cellIs" dxfId="82" priority="3" operator="greaterThan">
      <formula>$E$17</formula>
    </cfRule>
  </conditionalFormatting>
  <conditionalFormatting sqref="I18:I517">
    <cfRule type="expression" dxfId="81" priority="2">
      <formula>$H18&lt;&gt;"○"</formula>
    </cfRule>
  </conditionalFormatting>
  <conditionalFormatting sqref="N7">
    <cfRule type="cellIs" dxfId="80" priority="1" operator="notEqual">
      <formula>"ー"</formula>
    </cfRule>
  </conditionalFormatting>
  <dataValidations count="1">
    <dataValidation type="list" allowBlank="1" showInputMessage="1" showErrorMessage="1" sqref="P18:P517 P16 H16 H18:H517">
      <formula1>"○"</formula1>
    </dataValidation>
  </dataValidations>
  <pageMargins left="0.70866141732283472" right="0.70866141732283472" top="0.74803149606299213" bottom="0.74803149606299213" header="0.31496062992125984" footer="0.31496062992125984"/>
  <pageSetup paperSize="9" scale="54" fitToHeight="0" orientation="landscape" r:id="rId1"/>
  <ignoredErrors>
    <ignoredError sqref="J6:K6 F17 H17:L17 M17:N17 V17:W17 P17:U1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0"/>
  <sheetViews>
    <sheetView view="pageBreakPreview" zoomScaleNormal="70" zoomScaleSheetLayoutView="100" workbookViewId="0">
      <selection activeCell="C20" sqref="C20"/>
    </sheetView>
  </sheetViews>
  <sheetFormatPr defaultColWidth="8.83203125" defaultRowHeight="18" x14ac:dyDescent="0.55000000000000004"/>
  <cols>
    <col min="1" max="1" width="11.08203125" style="27" customWidth="1"/>
    <col min="2" max="2" width="9" style="27" customWidth="1"/>
    <col min="3" max="12" width="11.33203125" style="27" customWidth="1"/>
    <col min="13" max="13" width="11.1640625" style="27" customWidth="1"/>
    <col min="14" max="16" width="11.33203125" style="27" customWidth="1"/>
    <col min="17" max="17" width="11.1640625" style="27" customWidth="1"/>
    <col min="18" max="23" width="11.33203125" style="27" customWidth="1"/>
    <col min="24" max="34" width="9.1640625" style="27" customWidth="1"/>
    <col min="35" max="35" width="10.5" style="27" bestFit="1" customWidth="1"/>
    <col min="36" max="45" width="9.1640625" style="27" customWidth="1"/>
    <col min="46" max="16384" width="8.83203125" style="27"/>
  </cols>
  <sheetData>
    <row r="1" spans="1:38" ht="29" x14ac:dyDescent="0.85">
      <c r="A1" s="26" t="s">
        <v>530</v>
      </c>
      <c r="D1"/>
      <c r="F1" s="292"/>
      <c r="G1" s="285"/>
      <c r="H1" s="292"/>
      <c r="I1" s="296"/>
      <c r="J1" s="292"/>
      <c r="K1" s="292"/>
      <c r="L1" s="297"/>
      <c r="M1"/>
    </row>
    <row r="3" spans="1:38" ht="20.399999999999999" customHeight="1" x14ac:dyDescent="0.55000000000000004">
      <c r="D3" s="680" t="s">
        <v>22</v>
      </c>
      <c r="E3" s="681"/>
      <c r="F3" s="167" t="s">
        <v>23</v>
      </c>
      <c r="G3" s="153" t="s">
        <v>24</v>
      </c>
      <c r="H3" s="153" t="s">
        <v>25</v>
      </c>
      <c r="I3" s="153" t="s">
        <v>26</v>
      </c>
      <c r="J3" s="180" t="s">
        <v>27</v>
      </c>
      <c r="M3" s="635" t="s">
        <v>440</v>
      </c>
      <c r="N3" s="636"/>
      <c r="O3" s="636"/>
      <c r="P3" s="636"/>
      <c r="Q3" s="636"/>
      <c r="R3" s="636"/>
      <c r="S3" s="636"/>
      <c r="T3" s="636"/>
      <c r="U3" s="636"/>
      <c r="V3" s="637"/>
    </row>
    <row r="4" spans="1:38" ht="20.399999999999999" customHeight="1" x14ac:dyDescent="0.55000000000000004">
      <c r="D4" s="682" t="s">
        <v>103</v>
      </c>
      <c r="E4" s="683"/>
      <c r="F4" s="182" t="s">
        <v>21</v>
      </c>
      <c r="G4" s="302">
        <f>Q19</f>
        <v>0</v>
      </c>
      <c r="H4" s="302">
        <f>AA19</f>
        <v>0</v>
      </c>
      <c r="I4" s="302">
        <f>G4-H4</f>
        <v>0</v>
      </c>
      <c r="J4" s="22">
        <f>IF(OR(G4=0,I4=0),0,I4/G4)</f>
        <v>0</v>
      </c>
      <c r="M4" s="657"/>
      <c r="N4" s="658"/>
      <c r="O4" s="658"/>
      <c r="P4" s="658"/>
      <c r="Q4" s="658"/>
      <c r="R4" s="658"/>
      <c r="S4" s="658"/>
      <c r="T4" s="658"/>
      <c r="U4" s="658"/>
      <c r="V4" s="659"/>
      <c r="X4" s="284"/>
      <c r="Y4" s="34"/>
      <c r="Z4" s="34"/>
      <c r="AA4" s="34"/>
      <c r="AB4" s="284"/>
    </row>
    <row r="5" spans="1:38" ht="20.399999999999999" customHeight="1" x14ac:dyDescent="0.55000000000000004">
      <c r="D5" s="682" t="s">
        <v>104</v>
      </c>
      <c r="E5" s="683"/>
      <c r="F5" s="195" t="s">
        <v>9</v>
      </c>
      <c r="G5" s="96">
        <f>R19</f>
        <v>0</v>
      </c>
      <c r="H5" s="96">
        <f>AB19</f>
        <v>0</v>
      </c>
      <c r="I5" s="246">
        <f>G5-H5</f>
        <v>0</v>
      </c>
      <c r="J5" s="22">
        <f>IF(OR(G5=0,I5=0),0,I5/G5)</f>
        <v>0</v>
      </c>
      <c r="M5" s="78"/>
      <c r="N5" s="78"/>
      <c r="O5" s="78"/>
      <c r="P5" s="78"/>
      <c r="Q5" s="78"/>
      <c r="R5" s="78"/>
      <c r="S5" s="78"/>
      <c r="T5" s="78"/>
      <c r="U5" s="78"/>
      <c r="V5" s="78"/>
      <c r="X5" s="284"/>
      <c r="Y5" s="34"/>
      <c r="Z5" s="34"/>
      <c r="AA5" s="34"/>
      <c r="AB5" s="284"/>
    </row>
    <row r="6" spans="1:38" ht="18" customHeight="1" x14ac:dyDescent="0.55000000000000004">
      <c r="D6" s="682" t="s">
        <v>3</v>
      </c>
      <c r="E6" s="683"/>
      <c r="F6" s="182" t="s">
        <v>30</v>
      </c>
      <c r="G6" s="303" t="str">
        <f>IF(使用量と光熱費!$I$6=0,"ー",G4*使用量と光熱費!$I$6)</f>
        <v>ー</v>
      </c>
      <c r="H6" s="303" t="str">
        <f>IF(使用量と光熱費!$I$6=0,"ー",H4*使用量と光熱費!$I$6)</f>
        <v>ー</v>
      </c>
      <c r="I6" s="293" t="str">
        <f>IF(OR(G6="ー",H6="ー"),"ー",G6-H6)</f>
        <v>ー</v>
      </c>
      <c r="J6" s="294" t="str">
        <f>IF(OR(G6="ー",I6="ー"),"ー",I6/G6)</f>
        <v>ー</v>
      </c>
      <c r="M6" s="670" t="s">
        <v>436</v>
      </c>
      <c r="N6" s="670"/>
      <c r="O6" s="670"/>
      <c r="P6" s="670"/>
      <c r="Q6" s="670"/>
      <c r="R6" s="670"/>
      <c r="S6" s="670"/>
      <c r="T6" s="670"/>
      <c r="U6" s="670"/>
      <c r="V6" s="670"/>
    </row>
    <row r="7" spans="1:38" ht="18" customHeight="1" x14ac:dyDescent="0.55000000000000004">
      <c r="D7" s="682" t="s">
        <v>31</v>
      </c>
      <c r="E7" s="683"/>
      <c r="F7" s="182" t="s">
        <v>32</v>
      </c>
      <c r="G7" s="467">
        <f>G4*係数!$C$30*0.0000258</f>
        <v>0</v>
      </c>
      <c r="H7" s="467">
        <f>H4*係数!$C$30*0.0000258</f>
        <v>0</v>
      </c>
      <c r="I7" s="468">
        <f>G7-H7</f>
        <v>0</v>
      </c>
      <c r="J7" s="22">
        <f>IF(OR(G7=0,I7=0),0,I7/G7)</f>
        <v>0</v>
      </c>
      <c r="M7" s="668" t="s">
        <v>439</v>
      </c>
      <c r="N7" s="669"/>
      <c r="O7" s="182" t="s">
        <v>272</v>
      </c>
      <c r="P7" s="182" t="s">
        <v>273</v>
      </c>
      <c r="Q7" s="660" t="str">
        <f>IF(OR(OR(O8="",P8=""),AND(O8="なし",P8="なし")),"ー",IF(COUNTIF(O8:P8,"増加")&gt;0,"やむを得ず増加する場合は特記事項欄に理由を記載してください。(要根拠資料提出)","減少する理由を特記事項欄に記載してください。"))</f>
        <v>ー</v>
      </c>
      <c r="R7" s="661"/>
      <c r="S7" s="661"/>
      <c r="T7" s="661"/>
      <c r="U7" s="661"/>
      <c r="V7" s="662"/>
    </row>
    <row r="8" spans="1:38" ht="18" customHeight="1" x14ac:dyDescent="0.55000000000000004">
      <c r="D8" s="82"/>
      <c r="E8" s="82"/>
      <c r="F8" s="82"/>
      <c r="M8" s="666" t="s">
        <v>441</v>
      </c>
      <c r="N8" s="667"/>
      <c r="O8" s="152" t="str">
        <f>IF(OR(G19=0,U19=0),"",IF(G19=U19,"なし",IF(G19&gt;U19,"減少","増加")))</f>
        <v/>
      </c>
      <c r="P8" s="152" t="str">
        <f>IF(OR(L19=0,X19=0),"",IF(L19=X19,"なし",IF(L19&gt;X19,"減少","増加")))</f>
        <v/>
      </c>
      <c r="Q8" s="663"/>
      <c r="R8" s="664"/>
      <c r="S8" s="664"/>
      <c r="T8" s="664"/>
      <c r="U8" s="664"/>
      <c r="V8" s="665"/>
    </row>
    <row r="9" spans="1:38" ht="18" customHeight="1" x14ac:dyDescent="0.55000000000000004">
      <c r="D9" s="82"/>
      <c r="E9" s="82"/>
      <c r="F9" s="82"/>
      <c r="M9" s="211"/>
      <c r="N9" s="34"/>
      <c r="O9" s="34"/>
      <c r="P9" s="210"/>
      <c r="Q9" s="210"/>
      <c r="R9" s="210"/>
      <c r="S9" s="210"/>
      <c r="T9" s="210"/>
      <c r="U9" s="210"/>
      <c r="V9" s="210"/>
    </row>
    <row r="10" spans="1:38" ht="18" customHeight="1" x14ac:dyDescent="0.55000000000000004">
      <c r="B10" s="193" t="s">
        <v>439</v>
      </c>
      <c r="C10" s="193" t="s">
        <v>102</v>
      </c>
    </row>
    <row r="11" spans="1:38" ht="18" customHeight="1" x14ac:dyDescent="0.65">
      <c r="B11" s="287" t="s">
        <v>438</v>
      </c>
      <c r="C11" s="283">
        <v>0.4</v>
      </c>
    </row>
    <row r="12" spans="1:38" ht="18" customHeight="1" x14ac:dyDescent="0.65">
      <c r="B12" s="287" t="s">
        <v>464</v>
      </c>
      <c r="C12" s="283">
        <v>0.4</v>
      </c>
    </row>
    <row r="13" spans="1:38" ht="18" customHeight="1" x14ac:dyDescent="0.55000000000000004">
      <c r="A13" s="27" t="s">
        <v>33</v>
      </c>
      <c r="M13" s="76"/>
    </row>
    <row r="14" spans="1:38" x14ac:dyDescent="0.55000000000000004">
      <c r="B14" s="677" t="s">
        <v>22</v>
      </c>
      <c r="C14" s="215" t="s">
        <v>24</v>
      </c>
      <c r="D14" s="216"/>
      <c r="E14" s="216"/>
      <c r="F14" s="216"/>
      <c r="G14" s="216"/>
      <c r="H14" s="217"/>
      <c r="I14" s="217"/>
      <c r="J14" s="217"/>
      <c r="K14" s="217"/>
      <c r="L14" s="217"/>
      <c r="M14" s="217"/>
      <c r="N14" s="217"/>
      <c r="O14" s="217"/>
      <c r="P14" s="217"/>
      <c r="Q14" s="217"/>
      <c r="R14" s="214"/>
      <c r="S14" s="218" t="s">
        <v>105</v>
      </c>
      <c r="T14" s="230"/>
      <c r="U14" s="219"/>
      <c r="V14" s="219"/>
      <c r="W14" s="219"/>
      <c r="X14" s="219"/>
      <c r="Y14" s="219"/>
      <c r="Z14" s="219"/>
      <c r="AA14" s="589"/>
      <c r="AB14" s="590"/>
      <c r="AC14" s="671" t="s">
        <v>1066</v>
      </c>
      <c r="AD14" s="672"/>
      <c r="AE14" s="673"/>
      <c r="AG14" s="656" t="s">
        <v>1052</v>
      </c>
      <c r="AH14" s="656"/>
      <c r="AI14" s="656"/>
      <c r="AJ14" s="656" t="s">
        <v>1050</v>
      </c>
      <c r="AK14" s="656"/>
      <c r="AL14" s="656"/>
    </row>
    <row r="15" spans="1:38" x14ac:dyDescent="0.55000000000000004">
      <c r="B15" s="678"/>
      <c r="C15" s="220"/>
      <c r="D15" s="221"/>
      <c r="E15" s="222"/>
      <c r="F15" s="223"/>
      <c r="G15" s="224" t="s">
        <v>106</v>
      </c>
      <c r="H15" s="196"/>
      <c r="I15" s="219"/>
      <c r="J15" s="219"/>
      <c r="K15" s="219"/>
      <c r="L15" s="224" t="s">
        <v>107</v>
      </c>
      <c r="M15" s="196"/>
      <c r="N15" s="219"/>
      <c r="O15" s="219"/>
      <c r="P15" s="219"/>
      <c r="Q15" s="198" t="s">
        <v>108</v>
      </c>
      <c r="R15" s="199"/>
      <c r="S15" s="220"/>
      <c r="T15" s="221"/>
      <c r="U15" s="224" t="s">
        <v>106</v>
      </c>
      <c r="V15" s="196"/>
      <c r="W15" s="196"/>
      <c r="X15" s="224" t="s">
        <v>107</v>
      </c>
      <c r="Y15" s="219"/>
      <c r="Z15" s="200"/>
      <c r="AA15" s="591" t="s">
        <v>1067</v>
      </c>
      <c r="AB15" s="590"/>
      <c r="AC15" s="674"/>
      <c r="AD15" s="675"/>
      <c r="AE15" s="676"/>
      <c r="AG15" s="656"/>
      <c r="AH15" s="656"/>
      <c r="AI15" s="656"/>
      <c r="AJ15" s="656"/>
      <c r="AK15" s="656"/>
      <c r="AL15" s="656"/>
    </row>
    <row r="16" spans="1:38" ht="56" x14ac:dyDescent="0.55000000000000004">
      <c r="B16" s="679"/>
      <c r="C16" s="471" t="s">
        <v>909</v>
      </c>
      <c r="D16" s="471" t="s">
        <v>908</v>
      </c>
      <c r="E16" s="472" t="s">
        <v>110</v>
      </c>
      <c r="F16" s="471" t="s">
        <v>503</v>
      </c>
      <c r="G16" s="471" t="s">
        <v>903</v>
      </c>
      <c r="H16" s="471" t="s">
        <v>904</v>
      </c>
      <c r="I16" s="472" t="s">
        <v>896</v>
      </c>
      <c r="J16" s="472" t="s">
        <v>1063</v>
      </c>
      <c r="K16" s="472" t="s">
        <v>905</v>
      </c>
      <c r="L16" s="472" t="s">
        <v>903</v>
      </c>
      <c r="M16" s="471" t="s">
        <v>906</v>
      </c>
      <c r="N16" s="472" t="s">
        <v>911</v>
      </c>
      <c r="O16" s="472" t="s">
        <v>912</v>
      </c>
      <c r="P16" s="472" t="s">
        <v>907</v>
      </c>
      <c r="Q16" s="472" t="s">
        <v>115</v>
      </c>
      <c r="R16" s="472" t="s">
        <v>116</v>
      </c>
      <c r="S16" s="471" t="s">
        <v>909</v>
      </c>
      <c r="T16" s="472" t="s">
        <v>117</v>
      </c>
      <c r="U16" s="472" t="s">
        <v>903</v>
      </c>
      <c r="V16" s="471" t="s">
        <v>1091</v>
      </c>
      <c r="W16" s="472" t="s">
        <v>1064</v>
      </c>
      <c r="X16" s="472" t="s">
        <v>903</v>
      </c>
      <c r="Y16" s="471" t="s">
        <v>919</v>
      </c>
      <c r="Z16" s="472" t="s">
        <v>1065</v>
      </c>
      <c r="AA16" s="472" t="s">
        <v>122</v>
      </c>
      <c r="AB16" s="472" t="s">
        <v>123</v>
      </c>
      <c r="AC16" s="474" t="s">
        <v>45</v>
      </c>
      <c r="AD16" s="474" t="s">
        <v>1031</v>
      </c>
      <c r="AE16" s="474" t="s">
        <v>46</v>
      </c>
      <c r="AG16" s="471" t="s">
        <v>1045</v>
      </c>
      <c r="AH16" s="471" t="s">
        <v>1046</v>
      </c>
      <c r="AI16" s="471" t="s">
        <v>1049</v>
      </c>
      <c r="AJ16" s="471" t="s">
        <v>1045</v>
      </c>
      <c r="AK16" s="471" t="s">
        <v>1046</v>
      </c>
      <c r="AL16" s="471" t="s">
        <v>1048</v>
      </c>
    </row>
    <row r="17" spans="2:38" x14ac:dyDescent="0.55000000000000004">
      <c r="B17" s="227" t="s">
        <v>23</v>
      </c>
      <c r="C17" s="354"/>
      <c r="D17" s="529" t="s">
        <v>1041</v>
      </c>
      <c r="E17" s="529" t="s">
        <v>48</v>
      </c>
      <c r="F17" s="354"/>
      <c r="G17" s="182" t="s">
        <v>270</v>
      </c>
      <c r="H17" s="182" t="s">
        <v>124</v>
      </c>
      <c r="I17" s="529" t="s">
        <v>1039</v>
      </c>
      <c r="J17" s="529" t="s">
        <v>1040</v>
      </c>
      <c r="K17" s="182" t="s">
        <v>51</v>
      </c>
      <c r="L17" s="182" t="s">
        <v>19</v>
      </c>
      <c r="M17" s="182" t="s">
        <v>124</v>
      </c>
      <c r="N17" s="529" t="s">
        <v>1039</v>
      </c>
      <c r="O17" s="529" t="s">
        <v>1040</v>
      </c>
      <c r="P17" s="182" t="s">
        <v>51</v>
      </c>
      <c r="Q17" s="182" t="s">
        <v>21</v>
      </c>
      <c r="R17" s="195" t="s">
        <v>9</v>
      </c>
      <c r="S17" s="570"/>
      <c r="T17" s="182" t="s">
        <v>48</v>
      </c>
      <c r="U17" s="529" t="s">
        <v>19</v>
      </c>
      <c r="V17" s="182" t="s">
        <v>124</v>
      </c>
      <c r="W17" s="182" t="s">
        <v>51</v>
      </c>
      <c r="X17" s="529" t="s">
        <v>19</v>
      </c>
      <c r="Y17" s="182" t="s">
        <v>124</v>
      </c>
      <c r="Z17" s="182" t="s">
        <v>51</v>
      </c>
      <c r="AA17" s="182" t="s">
        <v>21</v>
      </c>
      <c r="AB17" s="195" t="s">
        <v>9</v>
      </c>
      <c r="AC17" s="182" t="s">
        <v>21</v>
      </c>
      <c r="AD17" s="527" t="s">
        <v>1032</v>
      </c>
      <c r="AE17" s="228" t="s">
        <v>9</v>
      </c>
      <c r="AG17" s="354"/>
      <c r="AH17" s="354"/>
      <c r="AI17" s="354"/>
      <c r="AJ17" s="354"/>
      <c r="AK17" s="354"/>
      <c r="AL17" s="354"/>
    </row>
    <row r="18" spans="2:38" x14ac:dyDescent="0.55000000000000004">
      <c r="B18" s="186" t="s">
        <v>265</v>
      </c>
      <c r="C18" s="187" t="s">
        <v>428</v>
      </c>
      <c r="D18" s="187">
        <v>2008</v>
      </c>
      <c r="E18" s="187">
        <v>2</v>
      </c>
      <c r="F18" s="188">
        <f>IF(D18="",1,MIN(1.5,(2023-D18)*0.05+1))</f>
        <v>1.5</v>
      </c>
      <c r="G18" s="202">
        <v>28</v>
      </c>
      <c r="H18" s="189">
        <v>8.5500000000000007</v>
      </c>
      <c r="I18" s="190">
        <v>8</v>
      </c>
      <c r="J18" s="190">
        <f>30+31+31+30</f>
        <v>122</v>
      </c>
      <c r="K18" s="191">
        <f>I18*J18</f>
        <v>976</v>
      </c>
      <c r="L18" s="205">
        <v>31.5</v>
      </c>
      <c r="M18" s="189">
        <v>8.59</v>
      </c>
      <c r="N18" s="190">
        <v>8</v>
      </c>
      <c r="O18" s="190">
        <f>30+31+31+28+31+30</f>
        <v>181</v>
      </c>
      <c r="P18" s="191">
        <f>N18*O18</f>
        <v>1448</v>
      </c>
      <c r="Q18" s="191">
        <f>H18*F18*E18*K18*$C$11+M18*F18*E18*P18*$C$12</f>
        <v>24939.744000000002</v>
      </c>
      <c r="R18" s="192">
        <f>Q18*係数!$H$30</f>
        <v>11.397463008000001</v>
      </c>
      <c r="S18" s="187" t="s">
        <v>429</v>
      </c>
      <c r="T18" s="187">
        <v>2</v>
      </c>
      <c r="U18" s="202">
        <v>28</v>
      </c>
      <c r="V18" s="189">
        <v>8.48</v>
      </c>
      <c r="W18" s="191">
        <f>IF(K18=0,0,K18)</f>
        <v>976</v>
      </c>
      <c r="X18" s="205">
        <v>31.5</v>
      </c>
      <c r="Y18" s="189">
        <v>7.7</v>
      </c>
      <c r="Z18" s="191">
        <f>IF(P18=0,0,P18)</f>
        <v>1448</v>
      </c>
      <c r="AA18" s="191">
        <f>V18*T18*W18*$C$11+Y18*T18*Z18*$C$12</f>
        <v>15540.864000000001</v>
      </c>
      <c r="AB18" s="192">
        <f>AA18*係数!$H$30</f>
        <v>7.1021748480000007</v>
      </c>
      <c r="AC18" s="535">
        <f>Q18-AA18</f>
        <v>9398.880000000001</v>
      </c>
      <c r="AD18" s="538">
        <f>AC18*係数!$C$30*0.0000258</f>
        <v>2.4176363068800004</v>
      </c>
      <c r="AE18" s="539">
        <f>R18-AB18</f>
        <v>4.2952881600000001</v>
      </c>
      <c r="AG18" s="189">
        <f>G18/H18</f>
        <v>3.2748538011695905</v>
      </c>
      <c r="AH18" s="189">
        <f>L18/M18</f>
        <v>3.6670547147846335</v>
      </c>
      <c r="AI18" s="189">
        <f>((AG18*H18*F18*E18*K18*$C$11*係数!$H$30)+(AH18*M18*F18*E18*P18*$C$12*係数!$H$30))/R18</f>
        <v>3.5095789275142515</v>
      </c>
      <c r="AJ18" s="189">
        <f>U18/V18</f>
        <v>3.3018867924528301</v>
      </c>
      <c r="AK18" s="189">
        <f>X18/Y18</f>
        <v>4.0909090909090908</v>
      </c>
      <c r="AL18" s="189">
        <f>((AJ18*V18*T18*W18*$C$11*係数!$H$30)+(AK18*Y18*T18*Z18*$C$12*係数!$H$30))/AB18</f>
        <v>3.7547461968652449</v>
      </c>
    </row>
    <row r="19" spans="2:38" x14ac:dyDescent="0.55000000000000004">
      <c r="B19" s="457" t="s">
        <v>18</v>
      </c>
      <c r="C19" s="148"/>
      <c r="D19" s="148"/>
      <c r="E19" s="30">
        <f>SUM(E20:E39)</f>
        <v>0</v>
      </c>
      <c r="F19" s="148"/>
      <c r="G19" s="203">
        <f>SUMPRODUCT($E20:$E$39*G$20:G$39)</f>
        <v>0</v>
      </c>
      <c r="H19" s="138">
        <f>SUMPRODUCT($E20:$E$39*H$20:H$39)</f>
        <v>0</v>
      </c>
      <c r="I19" s="149"/>
      <c r="J19" s="149"/>
      <c r="K19" s="147"/>
      <c r="L19" s="206">
        <f>SUMPRODUCT($E20:$E$39*L$20:L$39)</f>
        <v>0</v>
      </c>
      <c r="M19" s="138">
        <f>SUMPRODUCT($E20:$E$39*M$20:M$39)</f>
        <v>0</v>
      </c>
      <c r="N19" s="149"/>
      <c r="O19" s="149"/>
      <c r="P19" s="147"/>
      <c r="Q19" s="21">
        <f>SUM(Q20:Q39)</f>
        <v>0</v>
      </c>
      <c r="R19" s="96">
        <f>SUM(R20:R39)</f>
        <v>0</v>
      </c>
      <c r="S19" s="148"/>
      <c r="T19" s="30">
        <f>SUM(T20:T39)</f>
        <v>0</v>
      </c>
      <c r="U19" s="208">
        <f>SUMPRODUCT($T20:$T$39*U$20:U$39)</f>
        <v>0</v>
      </c>
      <c r="V19" s="138">
        <f>SUMPRODUCT($T20:$T$39*V$20:V$39)</f>
        <v>0</v>
      </c>
      <c r="W19" s="147"/>
      <c r="X19" s="208">
        <f>SUMPRODUCT($T20:$T$39*X$20:X$39)</f>
        <v>0</v>
      </c>
      <c r="Y19" s="138">
        <f>SUMPRODUCT($T20:$T$39*Y$20:Y$39)</f>
        <v>0</v>
      </c>
      <c r="Z19" s="147"/>
      <c r="AA19" s="21">
        <f>SUM(AA20:AA39)</f>
        <v>0</v>
      </c>
      <c r="AB19" s="96">
        <f>SUM(AB20:AB39)</f>
        <v>0</v>
      </c>
      <c r="AC19" s="536">
        <f>SUM(AC20:AC39)</f>
        <v>0</v>
      </c>
      <c r="AD19" s="540">
        <f>SUM(AD20:AD39)</f>
        <v>0</v>
      </c>
      <c r="AE19" s="540">
        <f>SUM(AE20:AE39)</f>
        <v>0</v>
      </c>
      <c r="AG19" s="354"/>
      <c r="AH19" s="354"/>
      <c r="AI19" s="576" t="e">
        <f>SUMPRODUCT($R20:$R$39*AI$20:AI$39)/R19</f>
        <v>#DIV/0!</v>
      </c>
      <c r="AJ19" s="354"/>
      <c r="AK19" s="354"/>
      <c r="AL19" s="576" t="e">
        <f>SUMPRODUCT($AB20:$AB$39*AL$20:AL$39)/AB19</f>
        <v>#DIV/0!</v>
      </c>
    </row>
    <row r="20" spans="2:38" x14ac:dyDescent="0.55000000000000004">
      <c r="B20" s="194" t="s">
        <v>52</v>
      </c>
      <c r="C20" s="25"/>
      <c r="D20" s="25"/>
      <c r="E20" s="6"/>
      <c r="F20" s="427">
        <f t="shared" ref="F20:F39" si="0">IF(D20="",1,MIN(1.5,(2023-D20)*0.05+1))</f>
        <v>1</v>
      </c>
      <c r="G20" s="204"/>
      <c r="H20" s="139"/>
      <c r="I20" s="99"/>
      <c r="J20" s="99"/>
      <c r="K20" s="501">
        <f t="shared" ref="K20:K39" si="1">I20*J20</f>
        <v>0</v>
      </c>
      <c r="L20" s="207"/>
      <c r="M20" s="139"/>
      <c r="N20" s="99"/>
      <c r="O20" s="99"/>
      <c r="P20" s="501">
        <f>N20*O20</f>
        <v>0</v>
      </c>
      <c r="Q20" s="97">
        <f t="shared" ref="Q20:Q39" si="2">H20*F20*E20*K20*$C$11+M20*F20*E20*P20*$C$12</f>
        <v>0</v>
      </c>
      <c r="R20" s="98">
        <f>Q20*係数!$H$30</f>
        <v>0</v>
      </c>
      <c r="S20" s="25"/>
      <c r="T20" s="6"/>
      <c r="U20" s="204"/>
      <c r="V20" s="139"/>
      <c r="W20" s="428">
        <f t="shared" ref="W20:W39" si="3">IF(K20=0,0,K20)</f>
        <v>0</v>
      </c>
      <c r="X20" s="209"/>
      <c r="Y20" s="139"/>
      <c r="Z20" s="430">
        <f t="shared" ref="Z20:Z39" si="4">IF(P20=0,0,P20)</f>
        <v>0</v>
      </c>
      <c r="AA20" s="97">
        <f t="shared" ref="AA20:AA39" si="5">V20*T20*W20*$C$11+Y20*T20*Z20*$C$12</f>
        <v>0</v>
      </c>
      <c r="AB20" s="93">
        <f>AA20*係数!$H$30</f>
        <v>0</v>
      </c>
      <c r="AC20" s="537">
        <f t="shared" ref="AC20:AC39" si="6">Q20-AA20</f>
        <v>0</v>
      </c>
      <c r="AD20" s="546">
        <f>AC20*係数!$C$30*0.0000258</f>
        <v>0</v>
      </c>
      <c r="AE20" s="547">
        <f t="shared" ref="AE20:AE39" si="7">R20-AB20</f>
        <v>0</v>
      </c>
      <c r="AG20" s="567">
        <f>IF(AND(G20&lt;&gt;0,H20&lt;&gt;0),G20/H20,0)</f>
        <v>0</v>
      </c>
      <c r="AH20" s="567">
        <f>IF(AND(L20&lt;&gt;0,M20&lt;&gt;0),L20/M20,0)</f>
        <v>0</v>
      </c>
      <c r="AI20" s="189">
        <f>IF(R20&lt;&gt;0,((AG20*H20*F20*E20*K20*$C$11*係数!$H$30)+(AH20*M20*F20*E20*P20*$C$12*係数!$H$30))/R20,0)</f>
        <v>0</v>
      </c>
      <c r="AJ20" s="567">
        <f>IF(AND(U20&lt;&gt;0,V20&lt;&gt;0),U20/V20,0)</f>
        <v>0</v>
      </c>
      <c r="AK20" s="567">
        <f>IF(AND(X20&lt;&gt;0,Y20&lt;&gt;0),X20/Y20,0)</f>
        <v>0</v>
      </c>
      <c r="AL20" s="189">
        <f>IF(AB20&lt;&gt;0,((AJ20*V20*T20*W20*$C$11*係数!$H$30)+(AK20*Y20*T20*Z20*$C$12*係数!$H$30))/AB20,0)</f>
        <v>0</v>
      </c>
    </row>
    <row r="21" spans="2:38" x14ac:dyDescent="0.55000000000000004">
      <c r="B21" s="194" t="s">
        <v>53</v>
      </c>
      <c r="C21" s="25"/>
      <c r="D21" s="25"/>
      <c r="E21" s="6"/>
      <c r="F21" s="427">
        <f t="shared" si="0"/>
        <v>1</v>
      </c>
      <c r="G21" s="204"/>
      <c r="H21" s="139"/>
      <c r="I21" s="99"/>
      <c r="J21" s="99"/>
      <c r="K21" s="501">
        <f t="shared" si="1"/>
        <v>0</v>
      </c>
      <c r="L21" s="207"/>
      <c r="M21" s="139"/>
      <c r="N21" s="99"/>
      <c r="O21" s="99"/>
      <c r="P21" s="501">
        <f t="shared" ref="P21:P39" si="8">N21*O21</f>
        <v>0</v>
      </c>
      <c r="Q21" s="97">
        <f t="shared" si="2"/>
        <v>0</v>
      </c>
      <c r="R21" s="98">
        <f>Q21*係数!$H$30</f>
        <v>0</v>
      </c>
      <c r="S21" s="25"/>
      <c r="T21" s="6"/>
      <c r="U21" s="204"/>
      <c r="V21" s="139"/>
      <c r="W21" s="428">
        <f t="shared" si="3"/>
        <v>0</v>
      </c>
      <c r="X21" s="209"/>
      <c r="Y21" s="139"/>
      <c r="Z21" s="430">
        <f t="shared" si="4"/>
        <v>0</v>
      </c>
      <c r="AA21" s="97">
        <f t="shared" si="5"/>
        <v>0</v>
      </c>
      <c r="AB21" s="93">
        <f>AA21*係数!$H$30</f>
        <v>0</v>
      </c>
      <c r="AC21" s="537">
        <f t="shared" si="6"/>
        <v>0</v>
      </c>
      <c r="AD21" s="546">
        <f>AC21*係数!$C$30*0.0000258</f>
        <v>0</v>
      </c>
      <c r="AE21" s="547">
        <f t="shared" si="7"/>
        <v>0</v>
      </c>
      <c r="AG21" s="567">
        <f>IF(AND(G21&lt;&gt;0,H21&lt;&gt;0),G21/H21,0)</f>
        <v>0</v>
      </c>
      <c r="AH21" s="567">
        <f t="shared" ref="AH21:AH39" si="9">IF(AND(L21&lt;&gt;0,M21&lt;&gt;0),L21/M21,0)</f>
        <v>0</v>
      </c>
      <c r="AI21" s="189">
        <f>IF(R21&lt;&gt;0,((AG21*H21*F21*E21*K21*$C$11*係数!$H$30)+(AH21*M21*F21*E21*P21*$C$12*係数!$H$30))/R21,0)</f>
        <v>0</v>
      </c>
      <c r="AJ21" s="567">
        <f>IF(AND(U21&lt;&gt;0,V21&lt;&gt;0),U21/V21,0)</f>
        <v>0</v>
      </c>
      <c r="AK21" s="567">
        <f t="shared" ref="AK21:AK39" si="10">IF(AND(X21&lt;&gt;0,Y21&lt;&gt;0),X21/Y21,0)</f>
        <v>0</v>
      </c>
      <c r="AL21" s="189">
        <f>IF(AB21&lt;&gt;0,((AJ21*V21*T21*W21*$C$11*係数!$H$30)+(AK21*Y21*T21*Z21*$C$12*係数!$H$30))/AB21,0)</f>
        <v>0</v>
      </c>
    </row>
    <row r="22" spans="2:38" x14ac:dyDescent="0.55000000000000004">
      <c r="B22" s="194" t="s">
        <v>54</v>
      </c>
      <c r="C22" s="25"/>
      <c r="D22" s="25"/>
      <c r="E22" s="6"/>
      <c r="F22" s="427">
        <f t="shared" si="0"/>
        <v>1</v>
      </c>
      <c r="G22" s="204"/>
      <c r="H22" s="139"/>
      <c r="I22" s="99"/>
      <c r="J22" s="99"/>
      <c r="K22" s="501">
        <f t="shared" si="1"/>
        <v>0</v>
      </c>
      <c r="L22" s="207"/>
      <c r="M22" s="139"/>
      <c r="N22" s="99"/>
      <c r="O22" s="99"/>
      <c r="P22" s="501">
        <f t="shared" si="8"/>
        <v>0</v>
      </c>
      <c r="Q22" s="97">
        <f t="shared" si="2"/>
        <v>0</v>
      </c>
      <c r="R22" s="98">
        <f>Q22*係数!$H$30</f>
        <v>0</v>
      </c>
      <c r="S22" s="25"/>
      <c r="T22" s="6"/>
      <c r="U22" s="204"/>
      <c r="V22" s="139"/>
      <c r="W22" s="428">
        <f t="shared" si="3"/>
        <v>0</v>
      </c>
      <c r="X22" s="209"/>
      <c r="Y22" s="139"/>
      <c r="Z22" s="430">
        <f t="shared" si="4"/>
        <v>0</v>
      </c>
      <c r="AA22" s="97">
        <f t="shared" si="5"/>
        <v>0</v>
      </c>
      <c r="AB22" s="93">
        <f>AA22*係数!$H$30</f>
        <v>0</v>
      </c>
      <c r="AC22" s="537">
        <f t="shared" si="6"/>
        <v>0</v>
      </c>
      <c r="AD22" s="546">
        <f>AC22*係数!$C$30*0.0000258</f>
        <v>0</v>
      </c>
      <c r="AE22" s="547">
        <f t="shared" si="7"/>
        <v>0</v>
      </c>
      <c r="AF22" s="625"/>
      <c r="AG22" s="567">
        <f t="shared" ref="AG22:AG39" si="11">IF(AND(G22&lt;&gt;0,H22&lt;&gt;0),G22/H22,0)</f>
        <v>0</v>
      </c>
      <c r="AH22" s="567">
        <f t="shared" si="9"/>
        <v>0</v>
      </c>
      <c r="AI22" s="189">
        <f>IF(R22&lt;&gt;0,((AG22*H22*F22*E22*K22*$C$11*係数!$H$30)+(AH22*M22*F22*E22*P22*$C$12*係数!$H$30))/R22,0)</f>
        <v>0</v>
      </c>
      <c r="AJ22" s="567">
        <f t="shared" ref="AJ22:AJ39" si="12">IF(AND(U22&lt;&gt;0,V22&lt;&gt;0),U22/V22,0)</f>
        <v>0</v>
      </c>
      <c r="AK22" s="567">
        <f t="shared" si="10"/>
        <v>0</v>
      </c>
      <c r="AL22" s="189">
        <f>IF(AB22&lt;&gt;0,((AJ22*V22*T22*W22*$C$11*係数!$H$30)+(AK22*Y22*T22*Z22*$C$12*係数!$H$30))/AB22,0)</f>
        <v>0</v>
      </c>
    </row>
    <row r="23" spans="2:38" x14ac:dyDescent="0.55000000000000004">
      <c r="B23" s="194" t="s">
        <v>55</v>
      </c>
      <c r="C23" s="25"/>
      <c r="D23" s="25"/>
      <c r="E23" s="6"/>
      <c r="F23" s="427">
        <f t="shared" si="0"/>
        <v>1</v>
      </c>
      <c r="G23" s="204"/>
      <c r="H23" s="139"/>
      <c r="I23" s="99"/>
      <c r="J23" s="99"/>
      <c r="K23" s="501">
        <f t="shared" si="1"/>
        <v>0</v>
      </c>
      <c r="L23" s="207"/>
      <c r="M23" s="139"/>
      <c r="N23" s="99"/>
      <c r="O23" s="99"/>
      <c r="P23" s="501">
        <f t="shared" si="8"/>
        <v>0</v>
      </c>
      <c r="Q23" s="97">
        <f t="shared" si="2"/>
        <v>0</v>
      </c>
      <c r="R23" s="98">
        <f>Q23*係数!$H$30</f>
        <v>0</v>
      </c>
      <c r="S23" s="25"/>
      <c r="T23" s="6"/>
      <c r="U23" s="204"/>
      <c r="V23" s="139"/>
      <c r="W23" s="428">
        <f t="shared" si="3"/>
        <v>0</v>
      </c>
      <c r="X23" s="209"/>
      <c r="Y23" s="139"/>
      <c r="Z23" s="430">
        <f t="shared" si="4"/>
        <v>0</v>
      </c>
      <c r="AA23" s="97">
        <f t="shared" si="5"/>
        <v>0</v>
      </c>
      <c r="AB23" s="93">
        <f>AA23*係数!$H$30</f>
        <v>0</v>
      </c>
      <c r="AC23" s="537">
        <f t="shared" si="6"/>
        <v>0</v>
      </c>
      <c r="AD23" s="546">
        <f>AC23*係数!$C$30*0.0000258</f>
        <v>0</v>
      </c>
      <c r="AE23" s="547">
        <f t="shared" si="7"/>
        <v>0</v>
      </c>
      <c r="AG23" s="567">
        <f t="shared" si="11"/>
        <v>0</v>
      </c>
      <c r="AH23" s="567">
        <f t="shared" si="9"/>
        <v>0</v>
      </c>
      <c r="AI23" s="189">
        <f>IF(R23&lt;&gt;0,((AG23*H23*F23*E23*K23*$C$11*係数!$H$30)+(AH23*M23*F23*E23*P23*$C$12*係数!$H$30))/R23,0)</f>
        <v>0</v>
      </c>
      <c r="AJ23" s="567">
        <f t="shared" si="12"/>
        <v>0</v>
      </c>
      <c r="AK23" s="567">
        <f t="shared" si="10"/>
        <v>0</v>
      </c>
      <c r="AL23" s="189">
        <f>IF(AB23&lt;&gt;0,((AJ23*V23*T23*W23*$C$11*係数!$H$30)+(AK23*Y23*T23*Z23*$C$12*係数!$H$30))/AB23,0)</f>
        <v>0</v>
      </c>
    </row>
    <row r="24" spans="2:38" x14ac:dyDescent="0.55000000000000004">
      <c r="B24" s="194" t="s">
        <v>56</v>
      </c>
      <c r="C24" s="25"/>
      <c r="D24" s="25"/>
      <c r="E24" s="6"/>
      <c r="F24" s="427">
        <f t="shared" si="0"/>
        <v>1</v>
      </c>
      <c r="G24" s="204"/>
      <c r="H24" s="139"/>
      <c r="I24" s="99"/>
      <c r="J24" s="99"/>
      <c r="K24" s="501">
        <f t="shared" si="1"/>
        <v>0</v>
      </c>
      <c r="L24" s="207"/>
      <c r="M24" s="139"/>
      <c r="N24" s="99"/>
      <c r="O24" s="99"/>
      <c r="P24" s="501">
        <f t="shared" si="8"/>
        <v>0</v>
      </c>
      <c r="Q24" s="97">
        <f t="shared" si="2"/>
        <v>0</v>
      </c>
      <c r="R24" s="98">
        <f>Q24*係数!$H$30</f>
        <v>0</v>
      </c>
      <c r="S24" s="25"/>
      <c r="T24" s="6"/>
      <c r="U24" s="204"/>
      <c r="V24" s="139"/>
      <c r="W24" s="428">
        <f t="shared" si="3"/>
        <v>0</v>
      </c>
      <c r="X24" s="209"/>
      <c r="Y24" s="139"/>
      <c r="Z24" s="430">
        <f t="shared" si="4"/>
        <v>0</v>
      </c>
      <c r="AA24" s="97">
        <f t="shared" si="5"/>
        <v>0</v>
      </c>
      <c r="AB24" s="93">
        <f>AA24*係数!$H$30</f>
        <v>0</v>
      </c>
      <c r="AC24" s="537">
        <f t="shared" si="6"/>
        <v>0</v>
      </c>
      <c r="AD24" s="546">
        <f>AC24*係数!$C$30*0.0000258</f>
        <v>0</v>
      </c>
      <c r="AE24" s="547">
        <f t="shared" si="7"/>
        <v>0</v>
      </c>
      <c r="AG24" s="567">
        <f t="shared" si="11"/>
        <v>0</v>
      </c>
      <c r="AH24" s="567">
        <f t="shared" si="9"/>
        <v>0</v>
      </c>
      <c r="AI24" s="189">
        <f>IF(R24&lt;&gt;0,((AG24*H24*F24*E24*K24*$C$11*係数!$H$30)+(AH24*M24*F24*E24*P24*$C$12*係数!$H$30))/R24,0)</f>
        <v>0</v>
      </c>
      <c r="AJ24" s="567">
        <f t="shared" si="12"/>
        <v>0</v>
      </c>
      <c r="AK24" s="567">
        <f t="shared" si="10"/>
        <v>0</v>
      </c>
      <c r="AL24" s="189">
        <f>IF(AB24&lt;&gt;0,((AJ24*V24*T24*W24*$C$11*係数!$H$30)+(AK24*Y24*T24*Z24*$C$12*係数!$H$30))/AB24,0)</f>
        <v>0</v>
      </c>
    </row>
    <row r="25" spans="2:38" x14ac:dyDescent="0.55000000000000004">
      <c r="B25" s="194" t="s">
        <v>57</v>
      </c>
      <c r="C25" s="25"/>
      <c r="D25" s="25"/>
      <c r="E25" s="6"/>
      <c r="F25" s="427">
        <f t="shared" si="0"/>
        <v>1</v>
      </c>
      <c r="G25" s="204"/>
      <c r="H25" s="139"/>
      <c r="I25" s="99"/>
      <c r="J25" s="99"/>
      <c r="K25" s="501">
        <f t="shared" si="1"/>
        <v>0</v>
      </c>
      <c r="L25" s="207"/>
      <c r="M25" s="139"/>
      <c r="N25" s="99"/>
      <c r="O25" s="99"/>
      <c r="P25" s="501">
        <f t="shared" si="8"/>
        <v>0</v>
      </c>
      <c r="Q25" s="97">
        <f t="shared" si="2"/>
        <v>0</v>
      </c>
      <c r="R25" s="98">
        <f>Q25*係数!$H$30</f>
        <v>0</v>
      </c>
      <c r="S25" s="25"/>
      <c r="T25" s="6"/>
      <c r="U25" s="204"/>
      <c r="V25" s="139"/>
      <c r="W25" s="428">
        <f t="shared" si="3"/>
        <v>0</v>
      </c>
      <c r="X25" s="209"/>
      <c r="Y25" s="139"/>
      <c r="Z25" s="430">
        <f t="shared" si="4"/>
        <v>0</v>
      </c>
      <c r="AA25" s="97">
        <f t="shared" si="5"/>
        <v>0</v>
      </c>
      <c r="AB25" s="93">
        <f>AA25*係数!$H$30</f>
        <v>0</v>
      </c>
      <c r="AC25" s="537">
        <f t="shared" si="6"/>
        <v>0</v>
      </c>
      <c r="AD25" s="546">
        <f>AC25*係数!$C$30*0.0000258</f>
        <v>0</v>
      </c>
      <c r="AE25" s="547">
        <f t="shared" si="7"/>
        <v>0</v>
      </c>
      <c r="AG25" s="567">
        <f t="shared" si="11"/>
        <v>0</v>
      </c>
      <c r="AH25" s="567">
        <f t="shared" si="9"/>
        <v>0</v>
      </c>
      <c r="AI25" s="189">
        <f>IF(R25&lt;&gt;0,((AG25*H25*F25*E25*K25*$C$11*係数!$H$30)+(AH25*M25*F25*E25*P25*$C$12*係数!$H$30))/R25,0)</f>
        <v>0</v>
      </c>
      <c r="AJ25" s="567">
        <f t="shared" si="12"/>
        <v>0</v>
      </c>
      <c r="AK25" s="567">
        <f t="shared" si="10"/>
        <v>0</v>
      </c>
      <c r="AL25" s="189">
        <f>IF(AB25&lt;&gt;0,((AJ25*V25*T25*W25*$C$11*係数!$H$30)+(AK25*Y25*T25*Z25*$C$12*係数!$H$30))/AB25,0)</f>
        <v>0</v>
      </c>
    </row>
    <row r="26" spans="2:38" x14ac:dyDescent="0.55000000000000004">
      <c r="B26" s="194" t="s">
        <v>58</v>
      </c>
      <c r="C26" s="25"/>
      <c r="D26" s="25"/>
      <c r="E26" s="6"/>
      <c r="F26" s="427">
        <f t="shared" si="0"/>
        <v>1</v>
      </c>
      <c r="G26" s="204"/>
      <c r="H26" s="139"/>
      <c r="I26" s="99"/>
      <c r="J26" s="99"/>
      <c r="K26" s="501">
        <f t="shared" si="1"/>
        <v>0</v>
      </c>
      <c r="L26" s="207"/>
      <c r="M26" s="139"/>
      <c r="N26" s="99"/>
      <c r="O26" s="99"/>
      <c r="P26" s="501">
        <f t="shared" si="8"/>
        <v>0</v>
      </c>
      <c r="Q26" s="97">
        <f t="shared" si="2"/>
        <v>0</v>
      </c>
      <c r="R26" s="98">
        <f>Q26*係数!$H$30</f>
        <v>0</v>
      </c>
      <c r="S26" s="25"/>
      <c r="T26" s="6"/>
      <c r="U26" s="204"/>
      <c r="V26" s="139"/>
      <c r="W26" s="428">
        <f t="shared" si="3"/>
        <v>0</v>
      </c>
      <c r="X26" s="209"/>
      <c r="Y26" s="139"/>
      <c r="Z26" s="430">
        <f t="shared" si="4"/>
        <v>0</v>
      </c>
      <c r="AA26" s="97">
        <f t="shared" si="5"/>
        <v>0</v>
      </c>
      <c r="AB26" s="93">
        <f>AA26*係数!$H$30</f>
        <v>0</v>
      </c>
      <c r="AC26" s="537">
        <f t="shared" si="6"/>
        <v>0</v>
      </c>
      <c r="AD26" s="546">
        <f>AC26*係数!$C$30*0.0000258</f>
        <v>0</v>
      </c>
      <c r="AE26" s="547">
        <f t="shared" si="7"/>
        <v>0</v>
      </c>
      <c r="AG26" s="567">
        <f t="shared" si="11"/>
        <v>0</v>
      </c>
      <c r="AH26" s="567">
        <f t="shared" si="9"/>
        <v>0</v>
      </c>
      <c r="AI26" s="189">
        <f>IF(R26&lt;&gt;0,((AG26*H26*F26*E26*K26*$C$11*係数!$H$30)+(AH26*M26*F26*E26*P26*$C$12*係数!$H$30))/R26,0)</f>
        <v>0</v>
      </c>
      <c r="AJ26" s="567">
        <f t="shared" si="12"/>
        <v>0</v>
      </c>
      <c r="AK26" s="567">
        <f t="shared" si="10"/>
        <v>0</v>
      </c>
      <c r="AL26" s="189">
        <f>IF(AB26&lt;&gt;0,((AJ26*V26*T26*W26*$C$11*係数!$H$30)+(AK26*Y26*T26*Z26*$C$12*係数!$H$30))/AB26,0)</f>
        <v>0</v>
      </c>
    </row>
    <row r="27" spans="2:38" x14ac:dyDescent="0.55000000000000004">
      <c r="B27" s="194" t="s">
        <v>59</v>
      </c>
      <c r="C27" s="25"/>
      <c r="D27" s="25"/>
      <c r="E27" s="6"/>
      <c r="F27" s="427">
        <f t="shared" si="0"/>
        <v>1</v>
      </c>
      <c r="G27" s="204"/>
      <c r="H27" s="139"/>
      <c r="I27" s="99"/>
      <c r="J27" s="99"/>
      <c r="K27" s="501">
        <f t="shared" si="1"/>
        <v>0</v>
      </c>
      <c r="L27" s="207"/>
      <c r="M27" s="139"/>
      <c r="N27" s="99"/>
      <c r="O27" s="99"/>
      <c r="P27" s="501">
        <f t="shared" si="8"/>
        <v>0</v>
      </c>
      <c r="Q27" s="97">
        <f t="shared" si="2"/>
        <v>0</v>
      </c>
      <c r="R27" s="98">
        <f>Q27*係数!$H$30</f>
        <v>0</v>
      </c>
      <c r="S27" s="25"/>
      <c r="T27" s="6"/>
      <c r="U27" s="204"/>
      <c r="V27" s="139"/>
      <c r="W27" s="428">
        <f t="shared" si="3"/>
        <v>0</v>
      </c>
      <c r="X27" s="209"/>
      <c r="Y27" s="139"/>
      <c r="Z27" s="430">
        <f t="shared" si="4"/>
        <v>0</v>
      </c>
      <c r="AA27" s="97">
        <f t="shared" si="5"/>
        <v>0</v>
      </c>
      <c r="AB27" s="93">
        <f>AA27*係数!$H$30</f>
        <v>0</v>
      </c>
      <c r="AC27" s="537">
        <f t="shared" si="6"/>
        <v>0</v>
      </c>
      <c r="AD27" s="546">
        <f>AC27*係数!$C$30*0.0000258</f>
        <v>0</v>
      </c>
      <c r="AE27" s="547">
        <f t="shared" si="7"/>
        <v>0</v>
      </c>
      <c r="AG27" s="567">
        <f t="shared" si="11"/>
        <v>0</v>
      </c>
      <c r="AH27" s="567">
        <f t="shared" si="9"/>
        <v>0</v>
      </c>
      <c r="AI27" s="189">
        <f>IF(R27&lt;&gt;0,((AG27*H27*F27*E27*K27*$C$11*係数!$H$30)+(AH27*M27*F27*E27*P27*$C$12*係数!$H$30))/R27,0)</f>
        <v>0</v>
      </c>
      <c r="AJ27" s="567">
        <f t="shared" si="12"/>
        <v>0</v>
      </c>
      <c r="AK27" s="567">
        <f t="shared" si="10"/>
        <v>0</v>
      </c>
      <c r="AL27" s="189">
        <f>IF(AB27&lt;&gt;0,((AJ27*V27*T27*W27*$C$11*係数!$H$30)+(AK27*Y27*T27*Z27*$C$12*係数!$H$30))/AB27,0)</f>
        <v>0</v>
      </c>
    </row>
    <row r="28" spans="2:38" x14ac:dyDescent="0.55000000000000004">
      <c r="B28" s="194" t="s">
        <v>60</v>
      </c>
      <c r="C28" s="25"/>
      <c r="D28" s="25"/>
      <c r="E28" s="6"/>
      <c r="F28" s="427">
        <f t="shared" si="0"/>
        <v>1</v>
      </c>
      <c r="G28" s="204"/>
      <c r="H28" s="139"/>
      <c r="I28" s="99"/>
      <c r="J28" s="99"/>
      <c r="K28" s="501">
        <f t="shared" si="1"/>
        <v>0</v>
      </c>
      <c r="L28" s="207"/>
      <c r="M28" s="139"/>
      <c r="N28" s="99"/>
      <c r="O28" s="99"/>
      <c r="P28" s="501">
        <f t="shared" si="8"/>
        <v>0</v>
      </c>
      <c r="Q28" s="97">
        <f t="shared" si="2"/>
        <v>0</v>
      </c>
      <c r="R28" s="98">
        <f>Q28*係数!$H$30</f>
        <v>0</v>
      </c>
      <c r="S28" s="25"/>
      <c r="T28" s="6"/>
      <c r="U28" s="204"/>
      <c r="V28" s="139"/>
      <c r="W28" s="428">
        <f t="shared" si="3"/>
        <v>0</v>
      </c>
      <c r="X28" s="209"/>
      <c r="Y28" s="139"/>
      <c r="Z28" s="430">
        <f t="shared" si="4"/>
        <v>0</v>
      </c>
      <c r="AA28" s="97">
        <f t="shared" si="5"/>
        <v>0</v>
      </c>
      <c r="AB28" s="93">
        <f>AA28*係数!$H$30</f>
        <v>0</v>
      </c>
      <c r="AC28" s="537">
        <f t="shared" si="6"/>
        <v>0</v>
      </c>
      <c r="AD28" s="546">
        <f>AC28*係数!$C$30*0.0000258</f>
        <v>0</v>
      </c>
      <c r="AE28" s="547">
        <f t="shared" si="7"/>
        <v>0</v>
      </c>
      <c r="AG28" s="567">
        <f t="shared" si="11"/>
        <v>0</v>
      </c>
      <c r="AH28" s="567">
        <f t="shared" si="9"/>
        <v>0</v>
      </c>
      <c r="AI28" s="189">
        <f>IF(R28&lt;&gt;0,((AG28*H28*F28*E28*K28*$C$11*係数!$H$30)+(AH28*M28*F28*E28*P28*$C$12*係数!$H$30))/R28,0)</f>
        <v>0</v>
      </c>
      <c r="AJ28" s="567">
        <f t="shared" si="12"/>
        <v>0</v>
      </c>
      <c r="AK28" s="567">
        <f t="shared" si="10"/>
        <v>0</v>
      </c>
      <c r="AL28" s="189">
        <f>IF(AB28&lt;&gt;0,((AJ28*V28*T28*W28*$C$11*係数!$H$30)+(AK28*Y28*T28*Z28*$C$12*係数!$H$30))/AB28,0)</f>
        <v>0</v>
      </c>
    </row>
    <row r="29" spans="2:38" x14ac:dyDescent="0.55000000000000004">
      <c r="B29" s="194" t="s">
        <v>61</v>
      </c>
      <c r="C29" s="25"/>
      <c r="D29" s="25"/>
      <c r="E29" s="6"/>
      <c r="F29" s="427">
        <f t="shared" si="0"/>
        <v>1</v>
      </c>
      <c r="G29" s="204"/>
      <c r="H29" s="139"/>
      <c r="I29" s="99"/>
      <c r="J29" s="99"/>
      <c r="K29" s="501">
        <f t="shared" si="1"/>
        <v>0</v>
      </c>
      <c r="L29" s="207"/>
      <c r="M29" s="139"/>
      <c r="N29" s="99"/>
      <c r="O29" s="99"/>
      <c r="P29" s="501">
        <f t="shared" si="8"/>
        <v>0</v>
      </c>
      <c r="Q29" s="97">
        <f t="shared" si="2"/>
        <v>0</v>
      </c>
      <c r="R29" s="98">
        <f>Q29*係数!$H$30</f>
        <v>0</v>
      </c>
      <c r="S29" s="25"/>
      <c r="T29" s="6"/>
      <c r="U29" s="204"/>
      <c r="V29" s="139"/>
      <c r="W29" s="428">
        <f t="shared" si="3"/>
        <v>0</v>
      </c>
      <c r="X29" s="209"/>
      <c r="Y29" s="139"/>
      <c r="Z29" s="430">
        <f t="shared" si="4"/>
        <v>0</v>
      </c>
      <c r="AA29" s="97">
        <f t="shared" si="5"/>
        <v>0</v>
      </c>
      <c r="AB29" s="93">
        <f>AA29*係数!$H$30</f>
        <v>0</v>
      </c>
      <c r="AC29" s="537">
        <f t="shared" si="6"/>
        <v>0</v>
      </c>
      <c r="AD29" s="546">
        <f>AC29*係数!$C$30*0.0000258</f>
        <v>0</v>
      </c>
      <c r="AE29" s="547">
        <f t="shared" si="7"/>
        <v>0</v>
      </c>
      <c r="AG29" s="567">
        <f t="shared" si="11"/>
        <v>0</v>
      </c>
      <c r="AH29" s="567">
        <f t="shared" si="9"/>
        <v>0</v>
      </c>
      <c r="AI29" s="189">
        <f>IF(R29&lt;&gt;0,((AG29*H29*F29*E29*K29*$C$11*係数!$H$30)+(AH29*M29*F29*E29*P29*$C$12*係数!$H$30))/R29,0)</f>
        <v>0</v>
      </c>
      <c r="AJ29" s="567">
        <f t="shared" si="12"/>
        <v>0</v>
      </c>
      <c r="AK29" s="567">
        <f t="shared" si="10"/>
        <v>0</v>
      </c>
      <c r="AL29" s="189">
        <f>IF(AB29&lt;&gt;0,((AJ29*V29*T29*W29*$C$11*係数!$H$30)+(AK29*Y29*T29*Z29*$C$12*係数!$H$30))/AB29,0)</f>
        <v>0</v>
      </c>
    </row>
    <row r="30" spans="2:38" x14ac:dyDescent="0.55000000000000004">
      <c r="B30" s="194" t="s">
        <v>62</v>
      </c>
      <c r="C30" s="25"/>
      <c r="D30" s="25"/>
      <c r="E30" s="6"/>
      <c r="F30" s="427">
        <f t="shared" si="0"/>
        <v>1</v>
      </c>
      <c r="G30" s="204"/>
      <c r="H30" s="139"/>
      <c r="I30" s="99"/>
      <c r="J30" s="99"/>
      <c r="K30" s="501">
        <f t="shared" si="1"/>
        <v>0</v>
      </c>
      <c r="L30" s="207"/>
      <c r="M30" s="139"/>
      <c r="N30" s="99"/>
      <c r="O30" s="99"/>
      <c r="P30" s="501">
        <f t="shared" si="8"/>
        <v>0</v>
      </c>
      <c r="Q30" s="97">
        <f t="shared" si="2"/>
        <v>0</v>
      </c>
      <c r="R30" s="98">
        <f>Q30*係数!$H$30</f>
        <v>0</v>
      </c>
      <c r="S30" s="25"/>
      <c r="T30" s="6"/>
      <c r="U30" s="204"/>
      <c r="V30" s="139"/>
      <c r="W30" s="428">
        <f t="shared" si="3"/>
        <v>0</v>
      </c>
      <c r="X30" s="209"/>
      <c r="Y30" s="139"/>
      <c r="Z30" s="430">
        <f t="shared" si="4"/>
        <v>0</v>
      </c>
      <c r="AA30" s="97">
        <f t="shared" si="5"/>
        <v>0</v>
      </c>
      <c r="AB30" s="93">
        <f>AA30*係数!$H$30</f>
        <v>0</v>
      </c>
      <c r="AC30" s="537">
        <f t="shared" si="6"/>
        <v>0</v>
      </c>
      <c r="AD30" s="546">
        <f>AC30*係数!$C$30*0.0000258</f>
        <v>0</v>
      </c>
      <c r="AE30" s="547">
        <f t="shared" si="7"/>
        <v>0</v>
      </c>
      <c r="AG30" s="567">
        <f t="shared" si="11"/>
        <v>0</v>
      </c>
      <c r="AH30" s="567">
        <f t="shared" si="9"/>
        <v>0</v>
      </c>
      <c r="AI30" s="189">
        <f>IF(R30&lt;&gt;0,((AG30*H30*F30*E30*K30*$C$11*係数!$H$30)+(AH30*M30*F30*E30*P30*$C$12*係数!$H$30))/R30,0)</f>
        <v>0</v>
      </c>
      <c r="AJ30" s="567">
        <f t="shared" si="12"/>
        <v>0</v>
      </c>
      <c r="AK30" s="567">
        <f t="shared" si="10"/>
        <v>0</v>
      </c>
      <c r="AL30" s="189">
        <f>IF(AB30&lt;&gt;0,((AJ30*V30*T30*W30*$C$11*係数!$H$30)+(AK30*Y30*T30*Z30*$C$12*係数!$H$30))/AB30,0)</f>
        <v>0</v>
      </c>
    </row>
    <row r="31" spans="2:38" x14ac:dyDescent="0.55000000000000004">
      <c r="B31" s="194" t="s">
        <v>63</v>
      </c>
      <c r="C31" s="25"/>
      <c r="D31" s="25"/>
      <c r="E31" s="6"/>
      <c r="F31" s="427">
        <f t="shared" si="0"/>
        <v>1</v>
      </c>
      <c r="G31" s="204"/>
      <c r="H31" s="139"/>
      <c r="I31" s="99"/>
      <c r="J31" s="99"/>
      <c r="K31" s="501">
        <f t="shared" si="1"/>
        <v>0</v>
      </c>
      <c r="L31" s="207"/>
      <c r="M31" s="139"/>
      <c r="N31" s="99"/>
      <c r="O31" s="99"/>
      <c r="P31" s="501">
        <f t="shared" si="8"/>
        <v>0</v>
      </c>
      <c r="Q31" s="97">
        <f t="shared" si="2"/>
        <v>0</v>
      </c>
      <c r="R31" s="98">
        <f>Q31*係数!$H$30</f>
        <v>0</v>
      </c>
      <c r="S31" s="25"/>
      <c r="T31" s="6"/>
      <c r="U31" s="204"/>
      <c r="V31" s="139"/>
      <c r="W31" s="428">
        <f t="shared" si="3"/>
        <v>0</v>
      </c>
      <c r="X31" s="209"/>
      <c r="Y31" s="139"/>
      <c r="Z31" s="430">
        <f t="shared" si="4"/>
        <v>0</v>
      </c>
      <c r="AA31" s="97">
        <f t="shared" si="5"/>
        <v>0</v>
      </c>
      <c r="AB31" s="93">
        <f>AA31*係数!$H$30</f>
        <v>0</v>
      </c>
      <c r="AC31" s="537">
        <f t="shared" si="6"/>
        <v>0</v>
      </c>
      <c r="AD31" s="546">
        <f>AC31*係数!$C$30*0.0000258</f>
        <v>0</v>
      </c>
      <c r="AE31" s="547">
        <f t="shared" si="7"/>
        <v>0</v>
      </c>
      <c r="AG31" s="567">
        <f t="shared" si="11"/>
        <v>0</v>
      </c>
      <c r="AH31" s="567">
        <f t="shared" si="9"/>
        <v>0</v>
      </c>
      <c r="AI31" s="189">
        <f>IF(R31&lt;&gt;0,((AG31*H31*F31*E31*K31*$C$11*係数!$H$30)+(AH31*M31*F31*E31*P31*$C$12*係数!$H$30))/R31,0)</f>
        <v>0</v>
      </c>
      <c r="AJ31" s="567">
        <f t="shared" si="12"/>
        <v>0</v>
      </c>
      <c r="AK31" s="567">
        <f t="shared" si="10"/>
        <v>0</v>
      </c>
      <c r="AL31" s="189">
        <f>IF(AB31&lt;&gt;0,((AJ31*V31*T31*W31*$C$11*係数!$H$30)+(AK31*Y31*T31*Z31*$C$12*係数!$H$30))/AB31,0)</f>
        <v>0</v>
      </c>
    </row>
    <row r="32" spans="2:38" x14ac:dyDescent="0.55000000000000004">
      <c r="B32" s="194" t="s">
        <v>64</v>
      </c>
      <c r="C32" s="25"/>
      <c r="D32" s="25"/>
      <c r="E32" s="6"/>
      <c r="F32" s="427">
        <f t="shared" si="0"/>
        <v>1</v>
      </c>
      <c r="G32" s="204"/>
      <c r="H32" s="139"/>
      <c r="I32" s="99"/>
      <c r="J32" s="99"/>
      <c r="K32" s="501">
        <f t="shared" si="1"/>
        <v>0</v>
      </c>
      <c r="L32" s="207"/>
      <c r="M32" s="139"/>
      <c r="N32" s="99"/>
      <c r="O32" s="99"/>
      <c r="P32" s="501">
        <f t="shared" si="8"/>
        <v>0</v>
      </c>
      <c r="Q32" s="97">
        <f t="shared" si="2"/>
        <v>0</v>
      </c>
      <c r="R32" s="98">
        <f>Q32*係数!$H$30</f>
        <v>0</v>
      </c>
      <c r="S32" s="25"/>
      <c r="T32" s="6"/>
      <c r="U32" s="204"/>
      <c r="V32" s="139"/>
      <c r="W32" s="428">
        <f t="shared" si="3"/>
        <v>0</v>
      </c>
      <c r="X32" s="209"/>
      <c r="Y32" s="139"/>
      <c r="Z32" s="430">
        <f t="shared" si="4"/>
        <v>0</v>
      </c>
      <c r="AA32" s="97">
        <f t="shared" si="5"/>
        <v>0</v>
      </c>
      <c r="AB32" s="93">
        <f>AA32*係数!$H$30</f>
        <v>0</v>
      </c>
      <c r="AC32" s="537">
        <f t="shared" si="6"/>
        <v>0</v>
      </c>
      <c r="AD32" s="546">
        <f>AC32*係数!$C$30*0.0000258</f>
        <v>0</v>
      </c>
      <c r="AE32" s="547">
        <f t="shared" si="7"/>
        <v>0</v>
      </c>
      <c r="AG32" s="567">
        <f t="shared" si="11"/>
        <v>0</v>
      </c>
      <c r="AH32" s="567">
        <f t="shared" si="9"/>
        <v>0</v>
      </c>
      <c r="AI32" s="189">
        <f>IF(R32&lt;&gt;0,((AG32*H32*F32*E32*K32*$C$11*係数!$H$30)+(AH32*M32*F32*E32*P32*$C$12*係数!$H$30))/R32,0)</f>
        <v>0</v>
      </c>
      <c r="AJ32" s="567">
        <f t="shared" si="12"/>
        <v>0</v>
      </c>
      <c r="AK32" s="567">
        <f t="shared" si="10"/>
        <v>0</v>
      </c>
      <c r="AL32" s="189">
        <f>IF(AB32&lt;&gt;0,((AJ32*V32*T32*W32*$C$11*係数!$H$30)+(AK32*Y32*T32*Z32*$C$12*係数!$H$30))/AB32,0)</f>
        <v>0</v>
      </c>
    </row>
    <row r="33" spans="2:38" x14ac:dyDescent="0.55000000000000004">
      <c r="B33" s="194" t="s">
        <v>65</v>
      </c>
      <c r="C33" s="25"/>
      <c r="D33" s="25"/>
      <c r="E33" s="6"/>
      <c r="F33" s="427">
        <f t="shared" si="0"/>
        <v>1</v>
      </c>
      <c r="G33" s="204"/>
      <c r="H33" s="139"/>
      <c r="I33" s="99"/>
      <c r="J33" s="99"/>
      <c r="K33" s="501">
        <f t="shared" si="1"/>
        <v>0</v>
      </c>
      <c r="L33" s="207"/>
      <c r="M33" s="139"/>
      <c r="N33" s="99"/>
      <c r="O33" s="99"/>
      <c r="P33" s="501">
        <f t="shared" si="8"/>
        <v>0</v>
      </c>
      <c r="Q33" s="97">
        <f t="shared" si="2"/>
        <v>0</v>
      </c>
      <c r="R33" s="98">
        <f>Q33*係数!$H$30</f>
        <v>0</v>
      </c>
      <c r="S33" s="25"/>
      <c r="T33" s="6"/>
      <c r="U33" s="204"/>
      <c r="V33" s="139"/>
      <c r="W33" s="428">
        <f t="shared" si="3"/>
        <v>0</v>
      </c>
      <c r="X33" s="209"/>
      <c r="Y33" s="139"/>
      <c r="Z33" s="430">
        <f t="shared" si="4"/>
        <v>0</v>
      </c>
      <c r="AA33" s="97">
        <f t="shared" si="5"/>
        <v>0</v>
      </c>
      <c r="AB33" s="93">
        <f>AA33*係数!$H$30</f>
        <v>0</v>
      </c>
      <c r="AC33" s="537">
        <f t="shared" si="6"/>
        <v>0</v>
      </c>
      <c r="AD33" s="546">
        <f>AC33*係数!$C$30*0.0000258</f>
        <v>0</v>
      </c>
      <c r="AE33" s="547">
        <f t="shared" si="7"/>
        <v>0</v>
      </c>
      <c r="AG33" s="567">
        <f t="shared" si="11"/>
        <v>0</v>
      </c>
      <c r="AH33" s="567">
        <f t="shared" si="9"/>
        <v>0</v>
      </c>
      <c r="AI33" s="189">
        <f>IF(R33&lt;&gt;0,((AG33*H33*F33*E33*K33*$C$11*係数!$H$30)+(AH33*M33*F33*E33*P33*$C$12*係数!$H$30))/R33,0)</f>
        <v>0</v>
      </c>
      <c r="AJ33" s="567">
        <f t="shared" si="12"/>
        <v>0</v>
      </c>
      <c r="AK33" s="567">
        <f t="shared" si="10"/>
        <v>0</v>
      </c>
      <c r="AL33" s="189">
        <f>IF(AB33&lt;&gt;0,((AJ33*V33*T33*W33*$C$11*係数!$H$30)+(AK33*Y33*T33*Z33*$C$12*係数!$H$30))/AB33,0)</f>
        <v>0</v>
      </c>
    </row>
    <row r="34" spans="2:38" x14ac:dyDescent="0.55000000000000004">
      <c r="B34" s="194" t="s">
        <v>66</v>
      </c>
      <c r="C34" s="25"/>
      <c r="D34" s="25"/>
      <c r="E34" s="6"/>
      <c r="F34" s="427">
        <f t="shared" si="0"/>
        <v>1</v>
      </c>
      <c r="G34" s="204"/>
      <c r="H34" s="139"/>
      <c r="I34" s="99"/>
      <c r="J34" s="99"/>
      <c r="K34" s="501">
        <f t="shared" si="1"/>
        <v>0</v>
      </c>
      <c r="L34" s="207"/>
      <c r="M34" s="139"/>
      <c r="N34" s="99"/>
      <c r="O34" s="99"/>
      <c r="P34" s="501">
        <f t="shared" si="8"/>
        <v>0</v>
      </c>
      <c r="Q34" s="97">
        <f t="shared" si="2"/>
        <v>0</v>
      </c>
      <c r="R34" s="98">
        <f>Q34*係数!$H$30</f>
        <v>0</v>
      </c>
      <c r="S34" s="25"/>
      <c r="T34" s="6"/>
      <c r="U34" s="204"/>
      <c r="V34" s="139"/>
      <c r="W34" s="428">
        <f t="shared" si="3"/>
        <v>0</v>
      </c>
      <c r="X34" s="209"/>
      <c r="Y34" s="139"/>
      <c r="Z34" s="430">
        <f t="shared" si="4"/>
        <v>0</v>
      </c>
      <c r="AA34" s="97">
        <f t="shared" si="5"/>
        <v>0</v>
      </c>
      <c r="AB34" s="93">
        <f>AA34*係数!$H$30</f>
        <v>0</v>
      </c>
      <c r="AC34" s="537">
        <f t="shared" si="6"/>
        <v>0</v>
      </c>
      <c r="AD34" s="546">
        <f>AC34*係数!$C$30*0.0000258</f>
        <v>0</v>
      </c>
      <c r="AE34" s="547">
        <f t="shared" si="7"/>
        <v>0</v>
      </c>
      <c r="AG34" s="567">
        <f t="shared" si="11"/>
        <v>0</v>
      </c>
      <c r="AH34" s="567">
        <f t="shared" si="9"/>
        <v>0</v>
      </c>
      <c r="AI34" s="189">
        <f>IF(R34&lt;&gt;0,((AG34*H34*F34*E34*K34*$C$11*係数!$H$30)+(AH34*M34*F34*E34*P34*$C$12*係数!$H$30))/R34,0)</f>
        <v>0</v>
      </c>
      <c r="AJ34" s="567">
        <f t="shared" si="12"/>
        <v>0</v>
      </c>
      <c r="AK34" s="567">
        <f t="shared" si="10"/>
        <v>0</v>
      </c>
      <c r="AL34" s="189">
        <f>IF(AB34&lt;&gt;0,((AJ34*V34*T34*W34*$C$11*係数!$H$30)+(AK34*Y34*T34*Z34*$C$12*係数!$H$30))/AB34,0)</f>
        <v>0</v>
      </c>
    </row>
    <row r="35" spans="2:38" x14ac:dyDescent="0.55000000000000004">
      <c r="B35" s="194" t="s">
        <v>67</v>
      </c>
      <c r="C35" s="25"/>
      <c r="D35" s="25"/>
      <c r="E35" s="6"/>
      <c r="F35" s="427">
        <f t="shared" si="0"/>
        <v>1</v>
      </c>
      <c r="G35" s="204"/>
      <c r="H35" s="139"/>
      <c r="I35" s="99"/>
      <c r="J35" s="99"/>
      <c r="K35" s="501">
        <f t="shared" si="1"/>
        <v>0</v>
      </c>
      <c r="L35" s="207"/>
      <c r="M35" s="139"/>
      <c r="N35" s="99"/>
      <c r="O35" s="99"/>
      <c r="P35" s="501">
        <f t="shared" si="8"/>
        <v>0</v>
      </c>
      <c r="Q35" s="97">
        <f t="shared" si="2"/>
        <v>0</v>
      </c>
      <c r="R35" s="98">
        <f>Q35*係数!$H$30</f>
        <v>0</v>
      </c>
      <c r="S35" s="25"/>
      <c r="T35" s="6"/>
      <c r="U35" s="204"/>
      <c r="V35" s="139"/>
      <c r="W35" s="428">
        <f t="shared" si="3"/>
        <v>0</v>
      </c>
      <c r="X35" s="209"/>
      <c r="Y35" s="139"/>
      <c r="Z35" s="430">
        <f t="shared" si="4"/>
        <v>0</v>
      </c>
      <c r="AA35" s="97">
        <f t="shared" si="5"/>
        <v>0</v>
      </c>
      <c r="AB35" s="93">
        <f>AA35*係数!$H$30</f>
        <v>0</v>
      </c>
      <c r="AC35" s="537">
        <f t="shared" si="6"/>
        <v>0</v>
      </c>
      <c r="AD35" s="546">
        <f>AC35*係数!$C$30*0.0000258</f>
        <v>0</v>
      </c>
      <c r="AE35" s="547">
        <f t="shared" si="7"/>
        <v>0</v>
      </c>
      <c r="AG35" s="567">
        <f t="shared" si="11"/>
        <v>0</v>
      </c>
      <c r="AH35" s="567">
        <f t="shared" si="9"/>
        <v>0</v>
      </c>
      <c r="AI35" s="189">
        <f>IF(R35&lt;&gt;0,((AG35*H35*F35*E35*K35*$C$11*係数!$H$30)+(AH35*M35*F35*E35*P35*$C$12*係数!$H$30))/R35,0)</f>
        <v>0</v>
      </c>
      <c r="AJ35" s="567">
        <f t="shared" si="12"/>
        <v>0</v>
      </c>
      <c r="AK35" s="567">
        <f t="shared" si="10"/>
        <v>0</v>
      </c>
      <c r="AL35" s="189">
        <f>IF(AB35&lt;&gt;0,((AJ35*V35*T35*W35*$C$11*係数!$H$30)+(AK35*Y35*T35*Z35*$C$12*係数!$H$30))/AB35,0)</f>
        <v>0</v>
      </c>
    </row>
    <row r="36" spans="2:38" x14ac:dyDescent="0.55000000000000004">
      <c r="B36" s="194" t="s">
        <v>68</v>
      </c>
      <c r="C36" s="25"/>
      <c r="D36" s="25"/>
      <c r="E36" s="6"/>
      <c r="F36" s="427">
        <f t="shared" si="0"/>
        <v>1</v>
      </c>
      <c r="G36" s="204"/>
      <c r="H36" s="139"/>
      <c r="I36" s="99"/>
      <c r="J36" s="99"/>
      <c r="K36" s="501">
        <f t="shared" si="1"/>
        <v>0</v>
      </c>
      <c r="L36" s="207"/>
      <c r="M36" s="139"/>
      <c r="N36" s="99"/>
      <c r="O36" s="99"/>
      <c r="P36" s="501">
        <f t="shared" si="8"/>
        <v>0</v>
      </c>
      <c r="Q36" s="97">
        <f t="shared" si="2"/>
        <v>0</v>
      </c>
      <c r="R36" s="98">
        <f>Q36*係数!$H$30</f>
        <v>0</v>
      </c>
      <c r="S36" s="25"/>
      <c r="T36" s="6"/>
      <c r="U36" s="204"/>
      <c r="V36" s="139"/>
      <c r="W36" s="428">
        <f t="shared" si="3"/>
        <v>0</v>
      </c>
      <c r="X36" s="209"/>
      <c r="Y36" s="139"/>
      <c r="Z36" s="430">
        <f t="shared" si="4"/>
        <v>0</v>
      </c>
      <c r="AA36" s="97">
        <f t="shared" si="5"/>
        <v>0</v>
      </c>
      <c r="AB36" s="93">
        <f>AA36*係数!$H$30</f>
        <v>0</v>
      </c>
      <c r="AC36" s="537">
        <f t="shared" si="6"/>
        <v>0</v>
      </c>
      <c r="AD36" s="546">
        <f>AC36*係数!$C$30*0.0000258</f>
        <v>0</v>
      </c>
      <c r="AE36" s="547">
        <f t="shared" si="7"/>
        <v>0</v>
      </c>
      <c r="AG36" s="567">
        <f t="shared" si="11"/>
        <v>0</v>
      </c>
      <c r="AH36" s="567">
        <f t="shared" si="9"/>
        <v>0</v>
      </c>
      <c r="AI36" s="189">
        <f>IF(R36&lt;&gt;0,((AG36*H36*F36*E36*K36*$C$11*係数!$H$30)+(AH36*M36*F36*E36*P36*$C$12*係数!$H$30))/R36,0)</f>
        <v>0</v>
      </c>
      <c r="AJ36" s="567">
        <f t="shared" si="12"/>
        <v>0</v>
      </c>
      <c r="AK36" s="567">
        <f t="shared" si="10"/>
        <v>0</v>
      </c>
      <c r="AL36" s="189">
        <f>IF(AB36&lt;&gt;0,((AJ36*V36*T36*W36*$C$11*係数!$H$30)+(AK36*Y36*T36*Z36*$C$12*係数!$H$30))/AB36,0)</f>
        <v>0</v>
      </c>
    </row>
    <row r="37" spans="2:38" x14ac:dyDescent="0.55000000000000004">
      <c r="B37" s="194" t="s">
        <v>69</v>
      </c>
      <c r="C37" s="25"/>
      <c r="D37" s="25"/>
      <c r="E37" s="6"/>
      <c r="F37" s="427">
        <f t="shared" si="0"/>
        <v>1</v>
      </c>
      <c r="G37" s="204"/>
      <c r="H37" s="139"/>
      <c r="I37" s="99"/>
      <c r="J37" s="99"/>
      <c r="K37" s="501">
        <f t="shared" si="1"/>
        <v>0</v>
      </c>
      <c r="L37" s="207"/>
      <c r="M37" s="139"/>
      <c r="N37" s="99"/>
      <c r="O37" s="99"/>
      <c r="P37" s="501">
        <f t="shared" si="8"/>
        <v>0</v>
      </c>
      <c r="Q37" s="97">
        <f t="shared" si="2"/>
        <v>0</v>
      </c>
      <c r="R37" s="98">
        <f>Q37*係数!$H$30</f>
        <v>0</v>
      </c>
      <c r="S37" s="25"/>
      <c r="T37" s="6"/>
      <c r="U37" s="204"/>
      <c r="V37" s="139"/>
      <c r="W37" s="428">
        <f t="shared" si="3"/>
        <v>0</v>
      </c>
      <c r="X37" s="209"/>
      <c r="Y37" s="139"/>
      <c r="Z37" s="430">
        <f t="shared" si="4"/>
        <v>0</v>
      </c>
      <c r="AA37" s="97">
        <f t="shared" si="5"/>
        <v>0</v>
      </c>
      <c r="AB37" s="93">
        <f>AA37*係数!$H$30</f>
        <v>0</v>
      </c>
      <c r="AC37" s="537">
        <f t="shared" si="6"/>
        <v>0</v>
      </c>
      <c r="AD37" s="546">
        <f>AC37*係数!$C$30*0.0000258</f>
        <v>0</v>
      </c>
      <c r="AE37" s="547">
        <f t="shared" si="7"/>
        <v>0</v>
      </c>
      <c r="AG37" s="567">
        <f t="shared" si="11"/>
        <v>0</v>
      </c>
      <c r="AH37" s="567">
        <f t="shared" si="9"/>
        <v>0</v>
      </c>
      <c r="AI37" s="189">
        <f>IF(R37&lt;&gt;0,((AG37*H37*F37*E37*K37*$C$11*係数!$H$30)+(AH37*M37*F37*E37*P37*$C$12*係数!$H$30))/R37,0)</f>
        <v>0</v>
      </c>
      <c r="AJ37" s="567">
        <f t="shared" si="12"/>
        <v>0</v>
      </c>
      <c r="AK37" s="567">
        <f t="shared" si="10"/>
        <v>0</v>
      </c>
      <c r="AL37" s="189">
        <f>IF(AB37&lt;&gt;0,((AJ37*V37*T37*W37*$C$11*係数!$H$30)+(AK37*Y37*T37*Z37*$C$12*係数!$H$30))/AB37,0)</f>
        <v>0</v>
      </c>
    </row>
    <row r="38" spans="2:38" x14ac:dyDescent="0.55000000000000004">
      <c r="B38" s="194" t="s">
        <v>70</v>
      </c>
      <c r="C38" s="25"/>
      <c r="D38" s="25"/>
      <c r="E38" s="6"/>
      <c r="F38" s="427">
        <f t="shared" si="0"/>
        <v>1</v>
      </c>
      <c r="G38" s="204"/>
      <c r="H38" s="139"/>
      <c r="I38" s="99"/>
      <c r="J38" s="99"/>
      <c r="K38" s="501">
        <f t="shared" si="1"/>
        <v>0</v>
      </c>
      <c r="L38" s="207"/>
      <c r="M38" s="139"/>
      <c r="N38" s="99"/>
      <c r="O38" s="99"/>
      <c r="P38" s="501">
        <f t="shared" si="8"/>
        <v>0</v>
      </c>
      <c r="Q38" s="97">
        <f t="shared" si="2"/>
        <v>0</v>
      </c>
      <c r="R38" s="98">
        <f>Q38*係数!$H$30</f>
        <v>0</v>
      </c>
      <c r="S38" s="25"/>
      <c r="T38" s="6"/>
      <c r="U38" s="204"/>
      <c r="V38" s="139"/>
      <c r="W38" s="428">
        <f t="shared" si="3"/>
        <v>0</v>
      </c>
      <c r="X38" s="209"/>
      <c r="Y38" s="139"/>
      <c r="Z38" s="430">
        <f t="shared" si="4"/>
        <v>0</v>
      </c>
      <c r="AA38" s="97">
        <f t="shared" si="5"/>
        <v>0</v>
      </c>
      <c r="AB38" s="93">
        <f>AA38*係数!$H$30</f>
        <v>0</v>
      </c>
      <c r="AC38" s="537">
        <f t="shared" si="6"/>
        <v>0</v>
      </c>
      <c r="AD38" s="546">
        <f>AC38*係数!$C$30*0.0000258</f>
        <v>0</v>
      </c>
      <c r="AE38" s="547">
        <f t="shared" si="7"/>
        <v>0</v>
      </c>
      <c r="AG38" s="567">
        <f t="shared" si="11"/>
        <v>0</v>
      </c>
      <c r="AH38" s="567">
        <f t="shared" si="9"/>
        <v>0</v>
      </c>
      <c r="AI38" s="189">
        <f>IF(R38&lt;&gt;0,((AG38*H38*F38*E38*K38*$C$11*係数!$H$30)+(AH38*M38*F38*E38*P38*$C$12*係数!$H$30))/R38,0)</f>
        <v>0</v>
      </c>
      <c r="AJ38" s="567">
        <f t="shared" si="12"/>
        <v>0</v>
      </c>
      <c r="AK38" s="567">
        <f t="shared" si="10"/>
        <v>0</v>
      </c>
      <c r="AL38" s="189">
        <f>IF(AB38&lt;&gt;0,((AJ38*V38*T38*W38*$C$11*係数!$H$30)+(AK38*Y38*T38*Z38*$C$12*係数!$H$30))/AB38,0)</f>
        <v>0</v>
      </c>
    </row>
    <row r="39" spans="2:38" x14ac:dyDescent="0.55000000000000004">
      <c r="B39" s="194" t="s">
        <v>71</v>
      </c>
      <c r="C39" s="25"/>
      <c r="D39" s="25"/>
      <c r="E39" s="6"/>
      <c r="F39" s="427">
        <f t="shared" si="0"/>
        <v>1</v>
      </c>
      <c r="G39" s="204"/>
      <c r="H39" s="139"/>
      <c r="I39" s="99"/>
      <c r="J39" s="99"/>
      <c r="K39" s="501">
        <f t="shared" si="1"/>
        <v>0</v>
      </c>
      <c r="L39" s="207"/>
      <c r="M39" s="139"/>
      <c r="N39" s="99"/>
      <c r="O39" s="99"/>
      <c r="P39" s="501">
        <f t="shared" si="8"/>
        <v>0</v>
      </c>
      <c r="Q39" s="97">
        <f t="shared" si="2"/>
        <v>0</v>
      </c>
      <c r="R39" s="98">
        <f>Q39*係数!$H$30</f>
        <v>0</v>
      </c>
      <c r="S39" s="25"/>
      <c r="T39" s="6"/>
      <c r="U39" s="204"/>
      <c r="V39" s="139"/>
      <c r="W39" s="428">
        <f t="shared" si="3"/>
        <v>0</v>
      </c>
      <c r="X39" s="209"/>
      <c r="Y39" s="139"/>
      <c r="Z39" s="430">
        <f t="shared" si="4"/>
        <v>0</v>
      </c>
      <c r="AA39" s="97">
        <f t="shared" si="5"/>
        <v>0</v>
      </c>
      <c r="AB39" s="93">
        <f>AA39*係数!$H$30</f>
        <v>0</v>
      </c>
      <c r="AC39" s="537">
        <f t="shared" si="6"/>
        <v>0</v>
      </c>
      <c r="AD39" s="546">
        <f>AC39*係数!$C$30*0.0000258</f>
        <v>0</v>
      </c>
      <c r="AE39" s="547">
        <f t="shared" si="7"/>
        <v>0</v>
      </c>
      <c r="AG39" s="567">
        <f t="shared" si="11"/>
        <v>0</v>
      </c>
      <c r="AH39" s="567">
        <f t="shared" si="9"/>
        <v>0</v>
      </c>
      <c r="AI39" s="189">
        <f>IF(R39&lt;&gt;0,((AG39*H39*F39*E39*K39*$C$11*係数!$H$30)+(AH39*M39*F39*E39*P39*$C$12*係数!$H$30))/R39,0)</f>
        <v>0</v>
      </c>
      <c r="AJ39" s="567">
        <f t="shared" si="12"/>
        <v>0</v>
      </c>
      <c r="AK39" s="567">
        <f t="shared" si="10"/>
        <v>0</v>
      </c>
      <c r="AL39" s="189">
        <f>IF(AB39&lt;&gt;0,((AJ39*V39*T39*W39*$C$11*係数!$H$30)+(AK39*Y39*T39*Z39*$C$12*係数!$H$30))/AB39,0)</f>
        <v>0</v>
      </c>
    </row>
    <row r="40" spans="2:38" x14ac:dyDescent="0.55000000000000004">
      <c r="G40" s="130"/>
      <c r="H40" s="130"/>
    </row>
  </sheetData>
  <sheetProtection password="CC4B" sheet="1" formatCells="0" formatColumns="0" formatRows="0"/>
  <mergeCells count="15">
    <mergeCell ref="B14:B16"/>
    <mergeCell ref="D3:E3"/>
    <mergeCell ref="D4:E4"/>
    <mergeCell ref="D5:E5"/>
    <mergeCell ref="D6:E6"/>
    <mergeCell ref="D7:E7"/>
    <mergeCell ref="AG14:AI15"/>
    <mergeCell ref="AJ14:AL15"/>
    <mergeCell ref="M3:V3"/>
    <mergeCell ref="M4:V4"/>
    <mergeCell ref="Q7:V8"/>
    <mergeCell ref="M8:N8"/>
    <mergeCell ref="M7:N7"/>
    <mergeCell ref="M6:V6"/>
    <mergeCell ref="AC14:AE15"/>
  </mergeCells>
  <phoneticPr fontId="5"/>
  <conditionalFormatting sqref="G6:H7 C11:C12 J4:J7 J20:M39 C20:H39 AG20:AG39 O20:AE39">
    <cfRule type="expression" dxfId="79" priority="10">
      <formula>$F$1="なし"</formula>
    </cfRule>
  </conditionalFormatting>
  <conditionalFormatting sqref="U19">
    <cfRule type="cellIs" dxfId="78" priority="8" operator="greaterThan">
      <formula>$G$19</formula>
    </cfRule>
  </conditionalFormatting>
  <conditionalFormatting sqref="X19">
    <cfRule type="cellIs" dxfId="77" priority="7" operator="greaterThan">
      <formula>$L$19</formula>
    </cfRule>
  </conditionalFormatting>
  <conditionalFormatting sqref="Q7">
    <cfRule type="cellIs" dxfId="76" priority="6" operator="notEqual">
      <formula>"ー"</formula>
    </cfRule>
  </conditionalFormatting>
  <conditionalFormatting sqref="I20:I39">
    <cfRule type="expression" dxfId="75" priority="5">
      <formula>$F$1="なし"</formula>
    </cfRule>
  </conditionalFormatting>
  <conditionalFormatting sqref="N20:N39">
    <cfRule type="expression" dxfId="74" priority="4">
      <formula>$F$1="なし"</formula>
    </cfRule>
  </conditionalFormatting>
  <conditionalFormatting sqref="AH20:AH39">
    <cfRule type="expression" dxfId="73" priority="3">
      <formula>$F$1="なし"</formula>
    </cfRule>
  </conditionalFormatting>
  <conditionalFormatting sqref="AJ20:AJ39">
    <cfRule type="expression" dxfId="72" priority="2">
      <formula>$F$1="なし"</formula>
    </cfRule>
  </conditionalFormatting>
  <conditionalFormatting sqref="AK20:AK39">
    <cfRule type="expression" dxfId="71" priority="1">
      <formula>$F$1="なし"</formula>
    </cfRule>
  </conditionalFormatting>
  <dataValidations count="2">
    <dataValidation type="whole" allowBlank="1" showInputMessage="1" showErrorMessage="1" sqref="T18">
      <formula1>0</formula1>
      <formula2>E18</formula2>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1:C12">
      <formula1>0.4</formula1>
    </dataValidation>
  </dataValidations>
  <pageMargins left="0.70866141732283472" right="0.70866141732283472" top="0.74803149606299213" bottom="0.74803149606299213" header="0.31496062992125984" footer="0.31496062992125984"/>
  <pageSetup paperSize="9" scale="34" fitToHeight="0" orientation="landscape" r:id="rId1"/>
  <ignoredErrors>
    <ignoredError sqref="AD19:AE19 I6:J6 AA19:AC19 AJ19:AK19" formula="1"/>
    <ignoredError sqref="K20:K39 P20:P3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view="pageBreakPreview" zoomScaleNormal="70" zoomScaleSheetLayoutView="100" workbookViewId="0">
      <selection activeCell="C20" sqref="C20"/>
    </sheetView>
  </sheetViews>
  <sheetFormatPr defaultColWidth="8.83203125" defaultRowHeight="18" x14ac:dyDescent="0.55000000000000004"/>
  <cols>
    <col min="1" max="1" width="11.08203125" style="27" customWidth="1"/>
    <col min="2" max="2" width="9" style="27" customWidth="1"/>
    <col min="3" max="12" width="11.33203125" style="27" customWidth="1"/>
    <col min="13" max="13" width="11.1640625" style="27" customWidth="1"/>
    <col min="14" max="16" width="11.33203125" style="27" customWidth="1"/>
    <col min="17" max="17" width="11.1640625" style="27" customWidth="1"/>
    <col min="18" max="22" width="11.33203125" style="27" customWidth="1"/>
    <col min="23" max="27" width="9.1640625" style="27" customWidth="1"/>
    <col min="28" max="28" width="9.1640625" style="37" customWidth="1"/>
    <col min="29" max="41" width="9.1640625" style="27" customWidth="1"/>
    <col min="42" max="16384" width="8.83203125" style="27"/>
  </cols>
  <sheetData>
    <row r="1" spans="1:30" ht="29" x14ac:dyDescent="0.85">
      <c r="A1" s="26" t="s">
        <v>530</v>
      </c>
      <c r="D1"/>
      <c r="F1" s="292"/>
      <c r="G1" s="285"/>
      <c r="H1" s="292"/>
      <c r="I1" s="296"/>
      <c r="J1" s="292"/>
      <c r="K1" s="292"/>
      <c r="L1" s="297"/>
      <c r="M1"/>
    </row>
    <row r="3" spans="1:30" ht="20.399999999999999" customHeight="1" x14ac:dyDescent="0.55000000000000004">
      <c r="D3" s="680" t="s">
        <v>22</v>
      </c>
      <c r="E3" s="681"/>
      <c r="F3" s="167" t="s">
        <v>23</v>
      </c>
      <c r="G3" s="497" t="s">
        <v>24</v>
      </c>
      <c r="H3" s="497" t="s">
        <v>25</v>
      </c>
      <c r="I3" s="497" t="s">
        <v>26</v>
      </c>
      <c r="J3" s="180" t="s">
        <v>27</v>
      </c>
      <c r="M3" s="635" t="s">
        <v>440</v>
      </c>
      <c r="N3" s="636"/>
      <c r="O3" s="636"/>
      <c r="P3" s="636"/>
      <c r="Q3" s="636"/>
      <c r="R3" s="636"/>
      <c r="S3" s="636"/>
      <c r="T3" s="636"/>
      <c r="U3" s="636"/>
      <c r="V3" s="637"/>
    </row>
    <row r="4" spans="1:30" ht="20.399999999999999" customHeight="1" x14ac:dyDescent="0.55000000000000004">
      <c r="D4" s="682" t="s">
        <v>103</v>
      </c>
      <c r="E4" s="683"/>
      <c r="F4" s="494" t="s">
        <v>21</v>
      </c>
      <c r="G4" s="302">
        <f>Q19</f>
        <v>0</v>
      </c>
      <c r="H4" s="302">
        <f>G4-I4</f>
        <v>0</v>
      </c>
      <c r="I4" s="302">
        <f>Y19</f>
        <v>0</v>
      </c>
      <c r="J4" s="22">
        <f>IF(OR(G4=0,I4=0),0,I4/G4)</f>
        <v>0</v>
      </c>
      <c r="M4" s="657"/>
      <c r="N4" s="658"/>
      <c r="O4" s="658"/>
      <c r="P4" s="658"/>
      <c r="Q4" s="658"/>
      <c r="R4" s="658"/>
      <c r="S4" s="658"/>
      <c r="T4" s="658"/>
      <c r="U4" s="658"/>
      <c r="V4" s="659"/>
      <c r="W4" s="34"/>
      <c r="X4" s="34"/>
    </row>
    <row r="5" spans="1:30" ht="20.399999999999999" customHeight="1" x14ac:dyDescent="0.55000000000000004">
      <c r="D5" s="682" t="s">
        <v>104</v>
      </c>
      <c r="E5" s="683"/>
      <c r="F5" s="195" t="s">
        <v>9</v>
      </c>
      <c r="G5" s="96">
        <f>R19</f>
        <v>0</v>
      </c>
      <c r="H5" s="96">
        <f>G5-I5</f>
        <v>0</v>
      </c>
      <c r="I5" s="246">
        <f>AA19</f>
        <v>0</v>
      </c>
      <c r="J5" s="22">
        <f>IF(OR(G5=0,I5=0),0,I5/G5)</f>
        <v>0</v>
      </c>
      <c r="M5" s="78"/>
      <c r="N5" s="78"/>
      <c r="O5" s="78"/>
      <c r="P5" s="78"/>
      <c r="Q5" s="78"/>
      <c r="R5" s="78"/>
      <c r="S5" s="78"/>
      <c r="T5" s="78"/>
      <c r="U5" s="78"/>
      <c r="V5" s="78"/>
      <c r="W5" s="34"/>
      <c r="X5" s="34"/>
    </row>
    <row r="6" spans="1:30" ht="18" customHeight="1" x14ac:dyDescent="0.55000000000000004">
      <c r="D6" s="682" t="s">
        <v>3</v>
      </c>
      <c r="E6" s="683"/>
      <c r="F6" s="494" t="s">
        <v>30</v>
      </c>
      <c r="G6" s="303" t="str">
        <f>IF(使用量と光熱費!$I$6=0,"ー",G4*使用量と光熱費!$I$6)</f>
        <v>ー</v>
      </c>
      <c r="H6" s="303" t="str">
        <f>IF(使用量と光熱費!$I$6=0,"ー",H4*使用量と光熱費!$I$6)</f>
        <v>ー</v>
      </c>
      <c r="I6" s="293" t="str">
        <f>IF(OR(G6="ー",H6="ー"),"ー",G6-H6)</f>
        <v>ー</v>
      </c>
      <c r="J6" s="294" t="str">
        <f>IF(OR(G6="ー",I6="ー"),"ー",I6/G6)</f>
        <v>ー</v>
      </c>
      <c r="M6" s="670" t="s">
        <v>436</v>
      </c>
      <c r="N6" s="670"/>
      <c r="O6" s="670"/>
      <c r="P6" s="670"/>
      <c r="Q6" s="670"/>
      <c r="R6" s="670"/>
      <c r="S6" s="670"/>
      <c r="T6" s="670"/>
      <c r="U6" s="670"/>
      <c r="V6" s="670"/>
    </row>
    <row r="7" spans="1:30" ht="18" customHeight="1" x14ac:dyDescent="0.55000000000000004">
      <c r="D7" s="682" t="s">
        <v>31</v>
      </c>
      <c r="E7" s="683"/>
      <c r="F7" s="494" t="s">
        <v>32</v>
      </c>
      <c r="G7" s="467">
        <f>G4*係数!$C$30*0.0000258</f>
        <v>0</v>
      </c>
      <c r="H7" s="467">
        <f>H4*係数!$C$30*0.0000258</f>
        <v>0</v>
      </c>
      <c r="I7" s="468">
        <f>G7-H7</f>
        <v>0</v>
      </c>
      <c r="J7" s="22">
        <f>IF(OR(G7=0,I7=0),0,I7/G7)</f>
        <v>0</v>
      </c>
      <c r="M7" s="668" t="s">
        <v>22</v>
      </c>
      <c r="N7" s="669"/>
      <c r="O7" s="494" t="s">
        <v>106</v>
      </c>
      <c r="P7" s="494" t="s">
        <v>107</v>
      </c>
      <c r="Q7" s="660" t="str">
        <f>IF(OR(OR(O8="",P8=""),AND(O8="なし",P8="なし")),"ー",IF(COUNTIF(O8:P8,"増加")&gt;0,"やむを得ず増加する場合は特記事項欄に理由を記載してください。(要根拠資料提出)","減少する理由を特記事項欄に記載してください。"))</f>
        <v>ー</v>
      </c>
      <c r="R7" s="661"/>
      <c r="S7" s="661"/>
      <c r="T7" s="661"/>
      <c r="U7" s="661"/>
      <c r="V7" s="662"/>
    </row>
    <row r="8" spans="1:30" ht="18" customHeight="1" x14ac:dyDescent="0.55000000000000004">
      <c r="D8" s="82"/>
      <c r="E8" s="82"/>
      <c r="F8" s="82"/>
      <c r="M8" s="666" t="s">
        <v>441</v>
      </c>
      <c r="N8" s="667"/>
      <c r="O8" s="496" t="str">
        <f>IF(OR(G19=0,U19=0),"",IF(G19=U19,"なし",IF(G19&gt;U19,"減少","増加")))</f>
        <v/>
      </c>
      <c r="P8" s="496" t="str">
        <f>IF(OR(L19=0,V19=0),"",IF(L19=V19,"なし",IF(L19&gt;V19,"減少","増加")))</f>
        <v/>
      </c>
      <c r="Q8" s="663"/>
      <c r="R8" s="664"/>
      <c r="S8" s="664"/>
      <c r="T8" s="664"/>
      <c r="U8" s="664"/>
      <c r="V8" s="665"/>
    </row>
    <row r="9" spans="1:30" ht="18" customHeight="1" x14ac:dyDescent="0.55000000000000004">
      <c r="D9" s="82"/>
      <c r="E9" s="82"/>
      <c r="F9" s="82"/>
      <c r="M9" s="211"/>
      <c r="N9" s="34"/>
      <c r="O9" s="34"/>
      <c r="P9" s="210"/>
      <c r="Q9" s="210"/>
      <c r="R9" s="210"/>
      <c r="S9" s="210"/>
      <c r="T9" s="210"/>
      <c r="U9" s="210"/>
      <c r="V9" s="210"/>
    </row>
    <row r="10" spans="1:30" ht="18" customHeight="1" x14ac:dyDescent="0.55000000000000004">
      <c r="B10" s="495" t="s">
        <v>22</v>
      </c>
      <c r="C10" s="495" t="s">
        <v>102</v>
      </c>
    </row>
    <row r="11" spans="1:30" ht="18" customHeight="1" x14ac:dyDescent="0.65">
      <c r="B11" s="287" t="s">
        <v>438</v>
      </c>
      <c r="C11" s="283">
        <v>0.4</v>
      </c>
    </row>
    <row r="12" spans="1:30" ht="18" customHeight="1" x14ac:dyDescent="0.65">
      <c r="B12" s="287" t="s">
        <v>464</v>
      </c>
      <c r="C12" s="283">
        <v>0.4</v>
      </c>
    </row>
    <row r="13" spans="1:30" ht="18" customHeight="1" x14ac:dyDescent="0.55000000000000004">
      <c r="A13" s="27" t="s">
        <v>33</v>
      </c>
      <c r="M13" s="76"/>
    </row>
    <row r="14" spans="1:30" x14ac:dyDescent="0.55000000000000004">
      <c r="B14" s="677" t="s">
        <v>22</v>
      </c>
      <c r="C14" s="215" t="s">
        <v>24</v>
      </c>
      <c r="D14" s="216"/>
      <c r="E14" s="216"/>
      <c r="F14" s="216"/>
      <c r="G14" s="216"/>
      <c r="H14" s="217"/>
      <c r="I14" s="217"/>
      <c r="J14" s="217"/>
      <c r="K14" s="217"/>
      <c r="L14" s="217"/>
      <c r="M14" s="217"/>
      <c r="N14" s="217"/>
      <c r="O14" s="217"/>
      <c r="P14" s="217"/>
      <c r="Q14" s="217"/>
      <c r="R14" s="214"/>
      <c r="S14" s="218" t="s">
        <v>105</v>
      </c>
      <c r="T14" s="230"/>
      <c r="U14" s="219"/>
      <c r="V14" s="327"/>
      <c r="W14" s="218" t="s">
        <v>923</v>
      </c>
      <c r="X14" s="230"/>
      <c r="Y14" s="671" t="s">
        <v>34</v>
      </c>
      <c r="Z14" s="672"/>
      <c r="AA14" s="673"/>
      <c r="AB14" s="612"/>
      <c r="AC14" s="289" t="s">
        <v>1050</v>
      </c>
      <c r="AD14" s="214"/>
    </row>
    <row r="15" spans="1:30" x14ac:dyDescent="0.55000000000000004">
      <c r="B15" s="678"/>
      <c r="C15" s="220"/>
      <c r="D15" s="221"/>
      <c r="E15" s="222"/>
      <c r="F15" s="223"/>
      <c r="G15" s="224" t="s">
        <v>106</v>
      </c>
      <c r="H15" s="196"/>
      <c r="I15" s="219"/>
      <c r="J15" s="219"/>
      <c r="K15" s="219"/>
      <c r="L15" s="224" t="s">
        <v>107</v>
      </c>
      <c r="M15" s="196"/>
      <c r="N15" s="219"/>
      <c r="O15" s="219"/>
      <c r="P15" s="219"/>
      <c r="Q15" s="198" t="s">
        <v>108</v>
      </c>
      <c r="R15" s="199"/>
      <c r="S15" s="220"/>
      <c r="T15" s="221"/>
      <c r="U15" s="224" t="s">
        <v>106</v>
      </c>
      <c r="V15" s="520" t="s">
        <v>107</v>
      </c>
      <c r="W15" s="380"/>
      <c r="X15" s="521"/>
      <c r="Y15" s="674"/>
      <c r="Z15" s="675"/>
      <c r="AA15" s="676"/>
      <c r="AB15" s="612"/>
      <c r="AC15" s="289" t="s">
        <v>1051</v>
      </c>
      <c r="AD15" s="214"/>
    </row>
    <row r="16" spans="1:30" ht="54" x14ac:dyDescent="0.55000000000000004">
      <c r="B16" s="679"/>
      <c r="C16" s="471" t="s">
        <v>909</v>
      </c>
      <c r="D16" s="471" t="s">
        <v>908</v>
      </c>
      <c r="E16" s="472" t="s">
        <v>110</v>
      </c>
      <c r="F16" s="471" t="s">
        <v>503</v>
      </c>
      <c r="G16" s="471" t="s">
        <v>903</v>
      </c>
      <c r="H16" s="471" t="s">
        <v>904</v>
      </c>
      <c r="I16" s="472" t="s">
        <v>911</v>
      </c>
      <c r="J16" s="472" t="s">
        <v>912</v>
      </c>
      <c r="K16" s="472" t="s">
        <v>905</v>
      </c>
      <c r="L16" s="472" t="s">
        <v>903</v>
      </c>
      <c r="M16" s="471" t="s">
        <v>906</v>
      </c>
      <c r="N16" s="472" t="s">
        <v>911</v>
      </c>
      <c r="O16" s="472" t="s">
        <v>912</v>
      </c>
      <c r="P16" s="472" t="s">
        <v>907</v>
      </c>
      <c r="Q16" s="472" t="s">
        <v>1062</v>
      </c>
      <c r="R16" s="472" t="s">
        <v>116</v>
      </c>
      <c r="S16" s="471" t="s">
        <v>909</v>
      </c>
      <c r="T16" s="472" t="s">
        <v>117</v>
      </c>
      <c r="U16" s="472" t="s">
        <v>268</v>
      </c>
      <c r="V16" s="472" t="s">
        <v>269</v>
      </c>
      <c r="W16" s="471" t="s">
        <v>1072</v>
      </c>
      <c r="X16" s="472" t="s">
        <v>1073</v>
      </c>
      <c r="Y16" s="474" t="s">
        <v>1070</v>
      </c>
      <c r="Z16" s="474" t="s">
        <v>1071</v>
      </c>
      <c r="AA16" s="474" t="s">
        <v>1061</v>
      </c>
      <c r="AB16" s="608"/>
      <c r="AC16" s="580" t="s">
        <v>1068</v>
      </c>
      <c r="AD16" s="580" t="s">
        <v>1069</v>
      </c>
    </row>
    <row r="17" spans="2:30" x14ac:dyDescent="0.55000000000000004">
      <c r="B17" s="227" t="s">
        <v>23</v>
      </c>
      <c r="C17" s="354"/>
      <c r="D17" s="529" t="s">
        <v>1041</v>
      </c>
      <c r="E17" s="529" t="s">
        <v>48</v>
      </c>
      <c r="F17" s="354"/>
      <c r="G17" s="494" t="s">
        <v>19</v>
      </c>
      <c r="H17" s="494" t="s">
        <v>124</v>
      </c>
      <c r="I17" s="529" t="s">
        <v>1039</v>
      </c>
      <c r="J17" s="529" t="s">
        <v>1040</v>
      </c>
      <c r="K17" s="494" t="s">
        <v>51</v>
      </c>
      <c r="L17" s="494" t="s">
        <v>19</v>
      </c>
      <c r="M17" s="494" t="s">
        <v>124</v>
      </c>
      <c r="N17" s="529" t="s">
        <v>1039</v>
      </c>
      <c r="O17" s="529" t="s">
        <v>1040</v>
      </c>
      <c r="P17" s="494" t="s">
        <v>51</v>
      </c>
      <c r="Q17" s="494" t="s">
        <v>21</v>
      </c>
      <c r="R17" s="195" t="s">
        <v>9</v>
      </c>
      <c r="S17" s="570"/>
      <c r="T17" s="494" t="s">
        <v>48</v>
      </c>
      <c r="U17" s="529" t="s">
        <v>19</v>
      </c>
      <c r="V17" s="529" t="s">
        <v>19</v>
      </c>
      <c r="W17" s="354"/>
      <c r="X17" s="354"/>
      <c r="Y17" s="494" t="s">
        <v>21</v>
      </c>
      <c r="Z17" s="527" t="s">
        <v>1032</v>
      </c>
      <c r="AA17" s="228" t="s">
        <v>9</v>
      </c>
      <c r="AB17" s="613"/>
      <c r="AC17" s="573" t="s">
        <v>21</v>
      </c>
      <c r="AD17" s="195" t="s">
        <v>9</v>
      </c>
    </row>
    <row r="18" spans="2:30" x14ac:dyDescent="0.55000000000000004">
      <c r="B18" s="186" t="s">
        <v>265</v>
      </c>
      <c r="C18" s="187" t="s">
        <v>428</v>
      </c>
      <c r="D18" s="187">
        <v>2008</v>
      </c>
      <c r="E18" s="187">
        <v>2</v>
      </c>
      <c r="F18" s="188">
        <f>IF(D18="",1,MIN(1.5,(2023-D18)*0.05+1))</f>
        <v>1.5</v>
      </c>
      <c r="G18" s="202">
        <v>20</v>
      </c>
      <c r="H18" s="189">
        <v>8.5500000000000007</v>
      </c>
      <c r="I18" s="190">
        <v>8</v>
      </c>
      <c r="J18" s="190">
        <v>122</v>
      </c>
      <c r="K18" s="191">
        <f>I18*J18</f>
        <v>976</v>
      </c>
      <c r="L18" s="205">
        <v>22</v>
      </c>
      <c r="M18" s="189">
        <v>6.25</v>
      </c>
      <c r="N18" s="190">
        <v>8</v>
      </c>
      <c r="O18" s="190">
        <v>181</v>
      </c>
      <c r="P18" s="191">
        <f>N18*O18</f>
        <v>1448</v>
      </c>
      <c r="Q18" s="191">
        <f>H18*E18*K18*$C$11+M18*E18*P18*$C$12</f>
        <v>13915.84</v>
      </c>
      <c r="R18" s="192">
        <f>Q18*係数!$H$30</f>
        <v>6.3595388799999997</v>
      </c>
      <c r="S18" s="187" t="s">
        <v>429</v>
      </c>
      <c r="T18" s="187">
        <v>2</v>
      </c>
      <c r="U18" s="202">
        <v>20</v>
      </c>
      <c r="V18" s="205">
        <v>22</v>
      </c>
      <c r="W18" s="189">
        <v>4.0999999999999996</v>
      </c>
      <c r="X18" s="189">
        <v>5.9</v>
      </c>
      <c r="Y18" s="191">
        <f>IF(AND(W18&lt;&gt;0,X18&lt;&gt;0),Q18*(1-(W18/F18)/X18),0)</f>
        <v>7468.9536723163847</v>
      </c>
      <c r="Z18" s="541">
        <f>Y18*係数!$C$30*0.0000258</f>
        <v>1.9212090773152546</v>
      </c>
      <c r="AA18" s="358">
        <f>Y18*係数!$H$30</f>
        <v>3.4133118282485877</v>
      </c>
      <c r="AB18" s="592"/>
      <c r="AC18" s="578">
        <f>Q18-Y18</f>
        <v>6446.8863276836155</v>
      </c>
      <c r="AD18" s="579">
        <f>AC18*係数!$H$30</f>
        <v>2.9462270517514124</v>
      </c>
    </row>
    <row r="19" spans="2:30" x14ac:dyDescent="0.55000000000000004">
      <c r="B19" s="457" t="s">
        <v>18</v>
      </c>
      <c r="C19" s="148"/>
      <c r="D19" s="148"/>
      <c r="E19" s="30">
        <f>SUM(E20:E39)</f>
        <v>0</v>
      </c>
      <c r="F19" s="148"/>
      <c r="G19" s="203">
        <f>SUMPRODUCT($E20:$E$39*G$20:G$39)</f>
        <v>0</v>
      </c>
      <c r="H19" s="138">
        <f>SUMPRODUCT($E20:$E$39*H$20:H$39)</f>
        <v>0</v>
      </c>
      <c r="I19" s="149"/>
      <c r="J19" s="149"/>
      <c r="K19" s="147"/>
      <c r="L19" s="206">
        <f>SUMPRODUCT($E20:$E$39*L$20:L$39)</f>
        <v>0</v>
      </c>
      <c r="M19" s="138">
        <f>SUMPRODUCT($E20:$E$39*M$20:M$39)</f>
        <v>0</v>
      </c>
      <c r="N19" s="149"/>
      <c r="O19" s="149"/>
      <c r="P19" s="147"/>
      <c r="Q19" s="21">
        <f>SUM(Q20:Q39)</f>
        <v>0</v>
      </c>
      <c r="R19" s="96">
        <f>SUM(R20:R39)</f>
        <v>0</v>
      </c>
      <c r="S19" s="148"/>
      <c r="T19" s="30">
        <f>SUM(T20:T39)</f>
        <v>0</v>
      </c>
      <c r="U19" s="208">
        <f>SUMPRODUCT($T20:$T$39*U$20:U$39)</f>
        <v>0</v>
      </c>
      <c r="V19" s="208">
        <f>SUMPRODUCT($T20:$T$39*V$20:V$39)</f>
        <v>0</v>
      </c>
      <c r="W19" s="24">
        <f>IF(R19&lt;&gt;0,SUMPRODUCT($W$20:$W$39*$R$20:$R$39)/$R$19,0)</f>
        <v>0</v>
      </c>
      <c r="X19" s="24">
        <f>IF(AD19&lt;&gt;0,SUMPRODUCT($X20:$X$39*$AD$20:$AD$39)/$AD$19,0)</f>
        <v>0</v>
      </c>
      <c r="Y19" s="21">
        <f>SUM(Y20:Y39)</f>
        <v>0</v>
      </c>
      <c r="Z19" s="542">
        <f>SUM(Z20:Z39)</f>
        <v>0</v>
      </c>
      <c r="AA19" s="446">
        <f>SUM(AA20:AA39)</f>
        <v>0</v>
      </c>
      <c r="AB19" s="614"/>
      <c r="AC19" s="578">
        <f t="shared" ref="AC19:AC24" si="0">Q19-Y19</f>
        <v>0</v>
      </c>
      <c r="AD19" s="579">
        <f>AC19*係数!$H$30</f>
        <v>0</v>
      </c>
    </row>
    <row r="20" spans="2:30" x14ac:dyDescent="0.55000000000000004">
      <c r="B20" s="194" t="s">
        <v>52</v>
      </c>
      <c r="C20" s="25"/>
      <c r="D20" s="25"/>
      <c r="E20" s="6"/>
      <c r="F20" s="427">
        <f>IF(D20="",1,MIN(1.5,(2023-D20)*0.05+1))</f>
        <v>1</v>
      </c>
      <c r="G20" s="204"/>
      <c r="H20" s="139"/>
      <c r="I20" s="99"/>
      <c r="J20" s="99"/>
      <c r="K20" s="501">
        <f t="shared" ref="K20:K39" si="1">I20*J20</f>
        <v>0</v>
      </c>
      <c r="L20" s="207"/>
      <c r="M20" s="139"/>
      <c r="N20" s="99"/>
      <c r="O20" s="99"/>
      <c r="P20" s="501">
        <f>N20*O20</f>
        <v>0</v>
      </c>
      <c r="Q20" s="97">
        <f>H20*E20*K20*$C$11+M20*E20*P20*$C$12</f>
        <v>0</v>
      </c>
      <c r="R20" s="98">
        <f>Q20*係数!$H$30</f>
        <v>0</v>
      </c>
      <c r="S20" s="25"/>
      <c r="T20" s="6"/>
      <c r="U20" s="204"/>
      <c r="V20" s="209"/>
      <c r="W20" s="139"/>
      <c r="X20" s="139"/>
      <c r="Y20" s="97">
        <f t="shared" ref="Y20:Y39" si="2">IF(AND(W20&lt;&gt;0,X20&lt;&gt;0),Q20*(1-(W20/F20)/X20),0)</f>
        <v>0</v>
      </c>
      <c r="Z20" s="548">
        <f>Y20*係数!$C$30*0.0000258</f>
        <v>0</v>
      </c>
      <c r="AA20" s="549">
        <f>Y20*係数!$H$30</f>
        <v>0</v>
      </c>
      <c r="AB20" s="615"/>
      <c r="AC20" s="578">
        <f t="shared" si="0"/>
        <v>0</v>
      </c>
      <c r="AD20" s="579">
        <f>AC20*係数!$H$30</f>
        <v>0</v>
      </c>
    </row>
    <row r="21" spans="2:30" x14ac:dyDescent="0.55000000000000004">
      <c r="B21" s="194" t="s">
        <v>53</v>
      </c>
      <c r="C21" s="25"/>
      <c r="D21" s="25"/>
      <c r="E21" s="6"/>
      <c r="F21" s="427">
        <f t="shared" ref="F21:F39" si="3">IF(D21="",1,MIN(1.5,(2023-D21)*0.05+1))</f>
        <v>1</v>
      </c>
      <c r="G21" s="204"/>
      <c r="H21" s="139"/>
      <c r="I21" s="99"/>
      <c r="J21" s="99"/>
      <c r="K21" s="501">
        <f t="shared" si="1"/>
        <v>0</v>
      </c>
      <c r="L21" s="207"/>
      <c r="M21" s="139"/>
      <c r="N21" s="99"/>
      <c r="O21" s="99"/>
      <c r="P21" s="501">
        <f t="shared" ref="P21:P39" si="4">N21*O21</f>
        <v>0</v>
      </c>
      <c r="Q21" s="97">
        <f>H21*E21*K21*$C$11+M21*E21*P21*$C$12</f>
        <v>0</v>
      </c>
      <c r="R21" s="98">
        <f>Q21*係数!$H$30</f>
        <v>0</v>
      </c>
      <c r="S21" s="25"/>
      <c r="T21" s="6"/>
      <c r="U21" s="204"/>
      <c r="V21" s="209"/>
      <c r="W21" s="139"/>
      <c r="X21" s="139"/>
      <c r="Y21" s="97">
        <f t="shared" si="2"/>
        <v>0</v>
      </c>
      <c r="Z21" s="548">
        <f>Y21*係数!$C$30*0.0000258</f>
        <v>0</v>
      </c>
      <c r="AA21" s="549">
        <f>Y21*係数!$H$30</f>
        <v>0</v>
      </c>
      <c r="AB21" s="615"/>
      <c r="AC21" s="578">
        <f t="shared" si="0"/>
        <v>0</v>
      </c>
      <c r="AD21" s="579">
        <f>AC21*係数!$H$30</f>
        <v>0</v>
      </c>
    </row>
    <row r="22" spans="2:30" x14ac:dyDescent="0.55000000000000004">
      <c r="B22" s="194" t="s">
        <v>54</v>
      </c>
      <c r="C22" s="25"/>
      <c r="D22" s="25"/>
      <c r="E22" s="6"/>
      <c r="F22" s="427">
        <f t="shared" si="3"/>
        <v>1</v>
      </c>
      <c r="G22" s="204"/>
      <c r="H22" s="139"/>
      <c r="I22" s="99"/>
      <c r="J22" s="99"/>
      <c r="K22" s="501">
        <f t="shared" si="1"/>
        <v>0</v>
      </c>
      <c r="L22" s="207"/>
      <c r="M22" s="139"/>
      <c r="N22" s="99"/>
      <c r="O22" s="99"/>
      <c r="P22" s="501">
        <f t="shared" si="4"/>
        <v>0</v>
      </c>
      <c r="Q22" s="97">
        <f>H22*E22*K22*$C$11+M22*E22*P22*$C$12</f>
        <v>0</v>
      </c>
      <c r="R22" s="98">
        <f>Q22*係数!$H$30</f>
        <v>0</v>
      </c>
      <c r="S22" s="25"/>
      <c r="T22" s="6"/>
      <c r="U22" s="204"/>
      <c r="V22" s="209"/>
      <c r="W22" s="139"/>
      <c r="X22" s="139"/>
      <c r="Y22" s="97">
        <f t="shared" si="2"/>
        <v>0</v>
      </c>
      <c r="Z22" s="548">
        <f>Y22*係数!$C$30*0.0000258</f>
        <v>0</v>
      </c>
      <c r="AA22" s="549">
        <f>Y22*係数!$H$30</f>
        <v>0</v>
      </c>
      <c r="AB22" s="615"/>
      <c r="AC22" s="578">
        <f t="shared" si="0"/>
        <v>0</v>
      </c>
      <c r="AD22" s="579">
        <f>AC22*係数!$H$30</f>
        <v>0</v>
      </c>
    </row>
    <row r="23" spans="2:30" x14ac:dyDescent="0.55000000000000004">
      <c r="B23" s="194" t="s">
        <v>55</v>
      </c>
      <c r="C23" s="25"/>
      <c r="D23" s="25"/>
      <c r="E23" s="6"/>
      <c r="F23" s="427">
        <f t="shared" si="3"/>
        <v>1</v>
      </c>
      <c r="G23" s="204"/>
      <c r="H23" s="139"/>
      <c r="I23" s="99"/>
      <c r="J23" s="99"/>
      <c r="K23" s="501">
        <f t="shared" si="1"/>
        <v>0</v>
      </c>
      <c r="L23" s="207"/>
      <c r="M23" s="139"/>
      <c r="N23" s="99"/>
      <c r="O23" s="99"/>
      <c r="P23" s="501">
        <f t="shared" si="4"/>
        <v>0</v>
      </c>
      <c r="Q23" s="97">
        <f>H23*E23*K23*$C$11+M23*E23*P23*$C$12</f>
        <v>0</v>
      </c>
      <c r="R23" s="98">
        <f>Q23*係数!$H$30</f>
        <v>0</v>
      </c>
      <c r="S23" s="25"/>
      <c r="T23" s="6"/>
      <c r="U23" s="204"/>
      <c r="V23" s="209"/>
      <c r="W23" s="139"/>
      <c r="X23" s="139"/>
      <c r="Y23" s="97">
        <f t="shared" si="2"/>
        <v>0</v>
      </c>
      <c r="Z23" s="548">
        <f>Y23*係数!$C$30*0.0000258</f>
        <v>0</v>
      </c>
      <c r="AA23" s="549">
        <f>Y23*係数!$H$30</f>
        <v>0</v>
      </c>
      <c r="AB23" s="615"/>
      <c r="AC23" s="578">
        <f t="shared" si="0"/>
        <v>0</v>
      </c>
      <c r="AD23" s="579">
        <f>AC23*係数!$H$30</f>
        <v>0</v>
      </c>
    </row>
    <row r="24" spans="2:30" x14ac:dyDescent="0.55000000000000004">
      <c r="B24" s="194" t="s">
        <v>56</v>
      </c>
      <c r="C24" s="25"/>
      <c r="D24" s="25"/>
      <c r="E24" s="6"/>
      <c r="F24" s="427">
        <f t="shared" si="3"/>
        <v>1</v>
      </c>
      <c r="G24" s="204"/>
      <c r="H24" s="139"/>
      <c r="I24" s="99"/>
      <c r="J24" s="99"/>
      <c r="K24" s="501">
        <f t="shared" si="1"/>
        <v>0</v>
      </c>
      <c r="L24" s="207"/>
      <c r="M24" s="139"/>
      <c r="N24" s="99"/>
      <c r="O24" s="99"/>
      <c r="P24" s="501">
        <f t="shared" si="4"/>
        <v>0</v>
      </c>
      <c r="Q24" s="97">
        <f>H24*E24*K24*$C$11+M24*E24*P24*$C$12</f>
        <v>0</v>
      </c>
      <c r="R24" s="98">
        <f>Q24*係数!$H$30</f>
        <v>0</v>
      </c>
      <c r="S24" s="25"/>
      <c r="T24" s="6"/>
      <c r="U24" s="204"/>
      <c r="V24" s="209"/>
      <c r="W24" s="139"/>
      <c r="X24" s="139"/>
      <c r="Y24" s="97">
        <f t="shared" si="2"/>
        <v>0</v>
      </c>
      <c r="Z24" s="548">
        <f>Y24*係数!$C$30*0.0000258</f>
        <v>0</v>
      </c>
      <c r="AA24" s="549">
        <f>Y24*係数!$H$30</f>
        <v>0</v>
      </c>
      <c r="AB24" s="615"/>
      <c r="AC24" s="578">
        <f t="shared" si="0"/>
        <v>0</v>
      </c>
      <c r="AD24" s="579">
        <f>AC24*係数!$H$30</f>
        <v>0</v>
      </c>
    </row>
    <row r="25" spans="2:30" x14ac:dyDescent="0.55000000000000004">
      <c r="B25" s="194" t="s">
        <v>57</v>
      </c>
      <c r="C25" s="25"/>
      <c r="D25" s="25"/>
      <c r="E25" s="6"/>
      <c r="F25" s="427">
        <f t="shared" si="3"/>
        <v>1</v>
      </c>
      <c r="G25" s="204"/>
      <c r="H25" s="139"/>
      <c r="I25" s="99"/>
      <c r="J25" s="99"/>
      <c r="K25" s="501">
        <f t="shared" si="1"/>
        <v>0</v>
      </c>
      <c r="L25" s="207"/>
      <c r="M25" s="139"/>
      <c r="N25" s="99"/>
      <c r="O25" s="99"/>
      <c r="P25" s="501">
        <f t="shared" si="4"/>
        <v>0</v>
      </c>
      <c r="Q25" s="97">
        <f t="shared" ref="Q25:Q39" si="5">H25*E25*K25*$C$11+M25*E25*P25*$C$12</f>
        <v>0</v>
      </c>
      <c r="R25" s="98">
        <f>Q25*係数!$H$30</f>
        <v>0</v>
      </c>
      <c r="S25" s="25"/>
      <c r="T25" s="6"/>
      <c r="U25" s="204"/>
      <c r="V25" s="209"/>
      <c r="W25" s="139"/>
      <c r="X25" s="139"/>
      <c r="Y25" s="97">
        <f t="shared" si="2"/>
        <v>0</v>
      </c>
      <c r="Z25" s="548">
        <f>Y25*係数!$C$30*0.0000258</f>
        <v>0</v>
      </c>
      <c r="AA25" s="549">
        <f>Y25*係数!$H$30</f>
        <v>0</v>
      </c>
      <c r="AB25" s="615"/>
      <c r="AC25" s="578">
        <f t="shared" ref="AC25:AC39" si="6">Q25-Y25</f>
        <v>0</v>
      </c>
      <c r="AD25" s="579">
        <f>AC25*係数!$H$30</f>
        <v>0</v>
      </c>
    </row>
    <row r="26" spans="2:30" x14ac:dyDescent="0.55000000000000004">
      <c r="B26" s="194" t="s">
        <v>58</v>
      </c>
      <c r="C26" s="25"/>
      <c r="D26" s="25"/>
      <c r="E26" s="6"/>
      <c r="F26" s="427">
        <f t="shared" si="3"/>
        <v>1</v>
      </c>
      <c r="G26" s="204"/>
      <c r="H26" s="139"/>
      <c r="I26" s="99"/>
      <c r="J26" s="99"/>
      <c r="K26" s="501">
        <f t="shared" si="1"/>
        <v>0</v>
      </c>
      <c r="L26" s="207"/>
      <c r="M26" s="139"/>
      <c r="N26" s="99"/>
      <c r="O26" s="99"/>
      <c r="P26" s="501">
        <f t="shared" si="4"/>
        <v>0</v>
      </c>
      <c r="Q26" s="97">
        <f>H26*E26*K26*$C$11+M26*E26*P26*$C$12</f>
        <v>0</v>
      </c>
      <c r="R26" s="98">
        <f>Q26*係数!$H$30</f>
        <v>0</v>
      </c>
      <c r="S26" s="25"/>
      <c r="T26" s="6"/>
      <c r="U26" s="204"/>
      <c r="V26" s="209"/>
      <c r="W26" s="139"/>
      <c r="X26" s="139"/>
      <c r="Y26" s="97">
        <f t="shared" si="2"/>
        <v>0</v>
      </c>
      <c r="Z26" s="548">
        <f>Y26*係数!$C$30*0.0000258</f>
        <v>0</v>
      </c>
      <c r="AA26" s="549">
        <f>Y26*係数!$H$30</f>
        <v>0</v>
      </c>
      <c r="AB26" s="615"/>
      <c r="AC26" s="578">
        <f>Q26-Y26</f>
        <v>0</v>
      </c>
      <c r="AD26" s="579">
        <f>AC26*係数!$H$30</f>
        <v>0</v>
      </c>
    </row>
    <row r="27" spans="2:30" x14ac:dyDescent="0.55000000000000004">
      <c r="B27" s="194" t="s">
        <v>59</v>
      </c>
      <c r="C27" s="25"/>
      <c r="D27" s="25"/>
      <c r="E27" s="6"/>
      <c r="F27" s="427">
        <f t="shared" si="3"/>
        <v>1</v>
      </c>
      <c r="G27" s="204"/>
      <c r="H27" s="139"/>
      <c r="I27" s="99"/>
      <c r="J27" s="99"/>
      <c r="K27" s="501">
        <f t="shared" si="1"/>
        <v>0</v>
      </c>
      <c r="L27" s="207"/>
      <c r="M27" s="139"/>
      <c r="N27" s="99"/>
      <c r="O27" s="99"/>
      <c r="P27" s="501">
        <f t="shared" si="4"/>
        <v>0</v>
      </c>
      <c r="Q27" s="97">
        <f t="shared" si="5"/>
        <v>0</v>
      </c>
      <c r="R27" s="98">
        <f>Q27*係数!$H$30</f>
        <v>0</v>
      </c>
      <c r="S27" s="25"/>
      <c r="T27" s="6"/>
      <c r="U27" s="204"/>
      <c r="V27" s="209"/>
      <c r="W27" s="139"/>
      <c r="X27" s="139"/>
      <c r="Y27" s="97">
        <f t="shared" si="2"/>
        <v>0</v>
      </c>
      <c r="Z27" s="548">
        <f>Y27*係数!$C$30*0.0000258</f>
        <v>0</v>
      </c>
      <c r="AA27" s="549">
        <f>Y27*係数!$H$30</f>
        <v>0</v>
      </c>
      <c r="AB27" s="615"/>
      <c r="AC27" s="578">
        <f>Q27-Y27</f>
        <v>0</v>
      </c>
      <c r="AD27" s="579">
        <f>AC27*係数!$H$30</f>
        <v>0</v>
      </c>
    </row>
    <row r="28" spans="2:30" x14ac:dyDescent="0.55000000000000004">
      <c r="B28" s="194" t="s">
        <v>60</v>
      </c>
      <c r="C28" s="25"/>
      <c r="D28" s="25"/>
      <c r="E28" s="6"/>
      <c r="F28" s="427">
        <f t="shared" si="3"/>
        <v>1</v>
      </c>
      <c r="G28" s="204"/>
      <c r="H28" s="139"/>
      <c r="I28" s="99"/>
      <c r="J28" s="99"/>
      <c r="K28" s="501">
        <f t="shared" si="1"/>
        <v>0</v>
      </c>
      <c r="L28" s="207"/>
      <c r="M28" s="139"/>
      <c r="N28" s="99"/>
      <c r="O28" s="99"/>
      <c r="P28" s="501">
        <f t="shared" si="4"/>
        <v>0</v>
      </c>
      <c r="Q28" s="97">
        <f>H28*E28*K28*$C$11+M28*E28*P28*$C$12</f>
        <v>0</v>
      </c>
      <c r="R28" s="98">
        <f>Q28*係数!$H$30</f>
        <v>0</v>
      </c>
      <c r="S28" s="25"/>
      <c r="T28" s="6"/>
      <c r="U28" s="204"/>
      <c r="V28" s="209"/>
      <c r="W28" s="139"/>
      <c r="X28" s="139"/>
      <c r="Y28" s="97">
        <f t="shared" si="2"/>
        <v>0</v>
      </c>
      <c r="Z28" s="548">
        <f>Y28*係数!$C$30*0.0000258</f>
        <v>0</v>
      </c>
      <c r="AA28" s="549">
        <f>Y28*係数!$H$30</f>
        <v>0</v>
      </c>
      <c r="AB28" s="615"/>
      <c r="AC28" s="578">
        <f>Q28-Y28</f>
        <v>0</v>
      </c>
      <c r="AD28" s="579">
        <f>AC28*係数!$H$30</f>
        <v>0</v>
      </c>
    </row>
    <row r="29" spans="2:30" x14ac:dyDescent="0.55000000000000004">
      <c r="B29" s="194" t="s">
        <v>61</v>
      </c>
      <c r="C29" s="25"/>
      <c r="D29" s="25"/>
      <c r="E29" s="6"/>
      <c r="F29" s="427">
        <f t="shared" si="3"/>
        <v>1</v>
      </c>
      <c r="G29" s="204"/>
      <c r="H29" s="139"/>
      <c r="I29" s="99"/>
      <c r="J29" s="99"/>
      <c r="K29" s="501">
        <f t="shared" si="1"/>
        <v>0</v>
      </c>
      <c r="L29" s="207"/>
      <c r="M29" s="139"/>
      <c r="N29" s="99"/>
      <c r="O29" s="99"/>
      <c r="P29" s="501">
        <f t="shared" si="4"/>
        <v>0</v>
      </c>
      <c r="Q29" s="97">
        <f t="shared" si="5"/>
        <v>0</v>
      </c>
      <c r="R29" s="98">
        <f>Q29*係数!$H$30</f>
        <v>0</v>
      </c>
      <c r="S29" s="25"/>
      <c r="T29" s="6"/>
      <c r="U29" s="204"/>
      <c r="V29" s="209"/>
      <c r="W29" s="139"/>
      <c r="X29" s="139"/>
      <c r="Y29" s="97">
        <f t="shared" si="2"/>
        <v>0</v>
      </c>
      <c r="Z29" s="548">
        <f>Y29*係数!$C$30*0.0000258</f>
        <v>0</v>
      </c>
      <c r="AA29" s="549">
        <f>Y29*係数!$H$30</f>
        <v>0</v>
      </c>
      <c r="AB29" s="615"/>
      <c r="AC29" s="578">
        <f>Q29-Y29</f>
        <v>0</v>
      </c>
      <c r="AD29" s="579">
        <f>AC29*係数!$H$30</f>
        <v>0</v>
      </c>
    </row>
    <row r="30" spans="2:30" x14ac:dyDescent="0.55000000000000004">
      <c r="B30" s="194" t="s">
        <v>62</v>
      </c>
      <c r="C30" s="25"/>
      <c r="D30" s="25"/>
      <c r="E30" s="6"/>
      <c r="F30" s="427">
        <f t="shared" si="3"/>
        <v>1</v>
      </c>
      <c r="G30" s="204"/>
      <c r="H30" s="139"/>
      <c r="I30" s="99"/>
      <c r="J30" s="99"/>
      <c r="K30" s="501">
        <f t="shared" si="1"/>
        <v>0</v>
      </c>
      <c r="L30" s="207"/>
      <c r="M30" s="139"/>
      <c r="N30" s="99"/>
      <c r="O30" s="99"/>
      <c r="P30" s="501">
        <f t="shared" si="4"/>
        <v>0</v>
      </c>
      <c r="Q30" s="97">
        <f t="shared" si="5"/>
        <v>0</v>
      </c>
      <c r="R30" s="98">
        <f>Q30*係数!$H$30</f>
        <v>0</v>
      </c>
      <c r="S30" s="25"/>
      <c r="T30" s="6"/>
      <c r="U30" s="204"/>
      <c r="V30" s="209"/>
      <c r="W30" s="139"/>
      <c r="X30" s="139"/>
      <c r="Y30" s="97">
        <f t="shared" si="2"/>
        <v>0</v>
      </c>
      <c r="Z30" s="548">
        <f>Y30*係数!$C$30*0.0000258</f>
        <v>0</v>
      </c>
      <c r="AA30" s="549">
        <f>Y30*係数!$H$30</f>
        <v>0</v>
      </c>
      <c r="AB30" s="615"/>
      <c r="AC30" s="578">
        <f>Q30-Y30</f>
        <v>0</v>
      </c>
      <c r="AD30" s="579">
        <f>AC30*係数!$H$30</f>
        <v>0</v>
      </c>
    </row>
    <row r="31" spans="2:30" x14ac:dyDescent="0.55000000000000004">
      <c r="B31" s="194" t="s">
        <v>63</v>
      </c>
      <c r="C31" s="25"/>
      <c r="D31" s="25"/>
      <c r="E31" s="6"/>
      <c r="F31" s="427">
        <f t="shared" si="3"/>
        <v>1</v>
      </c>
      <c r="G31" s="204"/>
      <c r="H31" s="139"/>
      <c r="I31" s="99"/>
      <c r="J31" s="99"/>
      <c r="K31" s="501">
        <f t="shared" si="1"/>
        <v>0</v>
      </c>
      <c r="L31" s="207"/>
      <c r="M31" s="139"/>
      <c r="N31" s="99"/>
      <c r="O31" s="99"/>
      <c r="P31" s="501">
        <f t="shared" si="4"/>
        <v>0</v>
      </c>
      <c r="Q31" s="97">
        <f t="shared" si="5"/>
        <v>0</v>
      </c>
      <c r="R31" s="98">
        <f>Q31*係数!$H$30</f>
        <v>0</v>
      </c>
      <c r="S31" s="25"/>
      <c r="T31" s="6"/>
      <c r="U31" s="204"/>
      <c r="V31" s="209"/>
      <c r="W31" s="139"/>
      <c r="X31" s="139"/>
      <c r="Y31" s="97">
        <f t="shared" si="2"/>
        <v>0</v>
      </c>
      <c r="Z31" s="548">
        <f>Y31*係数!$C$30*0.0000258</f>
        <v>0</v>
      </c>
      <c r="AA31" s="549">
        <f>Y31*係数!$H$30</f>
        <v>0</v>
      </c>
      <c r="AB31" s="615"/>
      <c r="AC31" s="578">
        <f t="shared" si="6"/>
        <v>0</v>
      </c>
      <c r="AD31" s="579">
        <f>AC31*係数!$H$30</f>
        <v>0</v>
      </c>
    </row>
    <row r="32" spans="2:30" x14ac:dyDescent="0.55000000000000004">
      <c r="B32" s="194" t="s">
        <v>64</v>
      </c>
      <c r="C32" s="25"/>
      <c r="D32" s="25"/>
      <c r="E32" s="6"/>
      <c r="F32" s="427">
        <f t="shared" si="3"/>
        <v>1</v>
      </c>
      <c r="G32" s="204"/>
      <c r="H32" s="139"/>
      <c r="I32" s="99"/>
      <c r="J32" s="99"/>
      <c r="K32" s="501">
        <f t="shared" si="1"/>
        <v>0</v>
      </c>
      <c r="L32" s="207"/>
      <c r="M32" s="139"/>
      <c r="N32" s="99"/>
      <c r="O32" s="99"/>
      <c r="P32" s="501">
        <f t="shared" si="4"/>
        <v>0</v>
      </c>
      <c r="Q32" s="97">
        <f t="shared" si="5"/>
        <v>0</v>
      </c>
      <c r="R32" s="98">
        <f>Q32*係数!$H$30</f>
        <v>0</v>
      </c>
      <c r="S32" s="25"/>
      <c r="T32" s="6"/>
      <c r="U32" s="204"/>
      <c r="V32" s="209"/>
      <c r="W32" s="139"/>
      <c r="X32" s="139"/>
      <c r="Y32" s="97">
        <f t="shared" si="2"/>
        <v>0</v>
      </c>
      <c r="Z32" s="548">
        <f>Y32*係数!$C$30*0.0000258</f>
        <v>0</v>
      </c>
      <c r="AA32" s="549">
        <f>Y32*係数!$H$30</f>
        <v>0</v>
      </c>
      <c r="AB32" s="615"/>
      <c r="AC32" s="578">
        <f t="shared" si="6"/>
        <v>0</v>
      </c>
      <c r="AD32" s="579">
        <f>AC32*係数!$H$30</f>
        <v>0</v>
      </c>
    </row>
    <row r="33" spans="2:30" x14ac:dyDescent="0.55000000000000004">
      <c r="B33" s="194" t="s">
        <v>65</v>
      </c>
      <c r="C33" s="25"/>
      <c r="D33" s="25"/>
      <c r="E33" s="6"/>
      <c r="F33" s="427">
        <f t="shared" si="3"/>
        <v>1</v>
      </c>
      <c r="G33" s="204"/>
      <c r="H33" s="139"/>
      <c r="I33" s="99"/>
      <c r="J33" s="99"/>
      <c r="K33" s="501">
        <f t="shared" si="1"/>
        <v>0</v>
      </c>
      <c r="L33" s="207"/>
      <c r="M33" s="139"/>
      <c r="N33" s="99"/>
      <c r="O33" s="99"/>
      <c r="P33" s="501">
        <f t="shared" si="4"/>
        <v>0</v>
      </c>
      <c r="Q33" s="97">
        <f t="shared" si="5"/>
        <v>0</v>
      </c>
      <c r="R33" s="98">
        <f>Q33*係数!$H$30</f>
        <v>0</v>
      </c>
      <c r="S33" s="25"/>
      <c r="T33" s="6"/>
      <c r="U33" s="204"/>
      <c r="V33" s="209"/>
      <c r="W33" s="139"/>
      <c r="X33" s="139"/>
      <c r="Y33" s="97">
        <f t="shared" si="2"/>
        <v>0</v>
      </c>
      <c r="Z33" s="548">
        <f>Y33*係数!$C$30*0.0000258</f>
        <v>0</v>
      </c>
      <c r="AA33" s="549">
        <f>Y33*係数!$H$30</f>
        <v>0</v>
      </c>
      <c r="AB33" s="615"/>
      <c r="AC33" s="578">
        <f t="shared" si="6"/>
        <v>0</v>
      </c>
      <c r="AD33" s="579">
        <f>AC33*係数!$H$30</f>
        <v>0</v>
      </c>
    </row>
    <row r="34" spans="2:30" x14ac:dyDescent="0.55000000000000004">
      <c r="B34" s="194" t="s">
        <v>66</v>
      </c>
      <c r="C34" s="25"/>
      <c r="D34" s="25"/>
      <c r="E34" s="6"/>
      <c r="F34" s="427">
        <f t="shared" si="3"/>
        <v>1</v>
      </c>
      <c r="G34" s="204"/>
      <c r="H34" s="139"/>
      <c r="I34" s="99"/>
      <c r="J34" s="99"/>
      <c r="K34" s="501">
        <f t="shared" si="1"/>
        <v>0</v>
      </c>
      <c r="L34" s="207"/>
      <c r="M34" s="139"/>
      <c r="N34" s="99"/>
      <c r="O34" s="99"/>
      <c r="P34" s="501">
        <f t="shared" si="4"/>
        <v>0</v>
      </c>
      <c r="Q34" s="97">
        <f t="shared" si="5"/>
        <v>0</v>
      </c>
      <c r="R34" s="98">
        <f>Q34*係数!$H$30</f>
        <v>0</v>
      </c>
      <c r="S34" s="25"/>
      <c r="T34" s="6"/>
      <c r="U34" s="204"/>
      <c r="V34" s="209"/>
      <c r="W34" s="139"/>
      <c r="X34" s="139"/>
      <c r="Y34" s="97">
        <f t="shared" si="2"/>
        <v>0</v>
      </c>
      <c r="Z34" s="548">
        <f>Y34*係数!$C$30*0.0000258</f>
        <v>0</v>
      </c>
      <c r="AA34" s="549">
        <f>Y34*係数!$H$30</f>
        <v>0</v>
      </c>
      <c r="AB34" s="615"/>
      <c r="AC34" s="578">
        <f t="shared" si="6"/>
        <v>0</v>
      </c>
      <c r="AD34" s="579">
        <f>AC34*係数!$H$30</f>
        <v>0</v>
      </c>
    </row>
    <row r="35" spans="2:30" x14ac:dyDescent="0.55000000000000004">
      <c r="B35" s="194" t="s">
        <v>67</v>
      </c>
      <c r="C35" s="25"/>
      <c r="D35" s="25"/>
      <c r="E35" s="6"/>
      <c r="F35" s="427">
        <f t="shared" si="3"/>
        <v>1</v>
      </c>
      <c r="G35" s="204"/>
      <c r="H35" s="139"/>
      <c r="I35" s="99"/>
      <c r="J35" s="99"/>
      <c r="K35" s="501">
        <f t="shared" si="1"/>
        <v>0</v>
      </c>
      <c r="L35" s="207"/>
      <c r="M35" s="139"/>
      <c r="N35" s="99"/>
      <c r="O35" s="99"/>
      <c r="P35" s="501">
        <f t="shared" si="4"/>
        <v>0</v>
      </c>
      <c r="Q35" s="97">
        <f t="shared" si="5"/>
        <v>0</v>
      </c>
      <c r="R35" s="98">
        <f>Q35*係数!$H$30</f>
        <v>0</v>
      </c>
      <c r="S35" s="25"/>
      <c r="T35" s="6"/>
      <c r="U35" s="204"/>
      <c r="V35" s="209"/>
      <c r="W35" s="139"/>
      <c r="X35" s="139"/>
      <c r="Y35" s="97">
        <f t="shared" si="2"/>
        <v>0</v>
      </c>
      <c r="Z35" s="548">
        <f>Y35*係数!$C$30*0.0000258</f>
        <v>0</v>
      </c>
      <c r="AA35" s="549">
        <f>Y35*係数!$H$30</f>
        <v>0</v>
      </c>
      <c r="AB35" s="615"/>
      <c r="AC35" s="578">
        <f t="shared" si="6"/>
        <v>0</v>
      </c>
      <c r="AD35" s="579">
        <f>AC35*係数!$H$30</f>
        <v>0</v>
      </c>
    </row>
    <row r="36" spans="2:30" x14ac:dyDescent="0.55000000000000004">
      <c r="B36" s="194" t="s">
        <v>68</v>
      </c>
      <c r="C36" s="25"/>
      <c r="D36" s="25"/>
      <c r="E36" s="6"/>
      <c r="F36" s="427">
        <f t="shared" si="3"/>
        <v>1</v>
      </c>
      <c r="G36" s="204"/>
      <c r="H36" s="139"/>
      <c r="I36" s="99"/>
      <c r="J36" s="99"/>
      <c r="K36" s="501">
        <f t="shared" si="1"/>
        <v>0</v>
      </c>
      <c r="L36" s="207"/>
      <c r="M36" s="139"/>
      <c r="N36" s="99"/>
      <c r="O36" s="99"/>
      <c r="P36" s="501">
        <f t="shared" si="4"/>
        <v>0</v>
      </c>
      <c r="Q36" s="97">
        <f t="shared" si="5"/>
        <v>0</v>
      </c>
      <c r="R36" s="98">
        <f>Q36*係数!$H$30</f>
        <v>0</v>
      </c>
      <c r="S36" s="25"/>
      <c r="T36" s="6"/>
      <c r="U36" s="204"/>
      <c r="V36" s="209"/>
      <c r="W36" s="139"/>
      <c r="X36" s="139"/>
      <c r="Y36" s="97">
        <f t="shared" si="2"/>
        <v>0</v>
      </c>
      <c r="Z36" s="548">
        <f>Y36*係数!$C$30*0.0000258</f>
        <v>0</v>
      </c>
      <c r="AA36" s="549">
        <f>Y36*係数!$H$30</f>
        <v>0</v>
      </c>
      <c r="AB36" s="615"/>
      <c r="AC36" s="578">
        <f t="shared" si="6"/>
        <v>0</v>
      </c>
      <c r="AD36" s="579">
        <f>AC36*係数!$H$30</f>
        <v>0</v>
      </c>
    </row>
    <row r="37" spans="2:30" x14ac:dyDescent="0.55000000000000004">
      <c r="B37" s="194" t="s">
        <v>69</v>
      </c>
      <c r="C37" s="25"/>
      <c r="D37" s="25"/>
      <c r="E37" s="6"/>
      <c r="F37" s="427">
        <f t="shared" si="3"/>
        <v>1</v>
      </c>
      <c r="G37" s="204"/>
      <c r="H37" s="139"/>
      <c r="I37" s="99"/>
      <c r="J37" s="99"/>
      <c r="K37" s="501">
        <f t="shared" si="1"/>
        <v>0</v>
      </c>
      <c r="L37" s="207"/>
      <c r="M37" s="139"/>
      <c r="N37" s="99"/>
      <c r="O37" s="99"/>
      <c r="P37" s="501">
        <f t="shared" si="4"/>
        <v>0</v>
      </c>
      <c r="Q37" s="97">
        <f t="shared" si="5"/>
        <v>0</v>
      </c>
      <c r="R37" s="98">
        <f>Q37*係数!$H$30</f>
        <v>0</v>
      </c>
      <c r="S37" s="25"/>
      <c r="T37" s="6"/>
      <c r="U37" s="204"/>
      <c r="V37" s="209"/>
      <c r="W37" s="139"/>
      <c r="X37" s="139"/>
      <c r="Y37" s="97">
        <f t="shared" si="2"/>
        <v>0</v>
      </c>
      <c r="Z37" s="548">
        <f>Y37*係数!$C$30*0.0000258</f>
        <v>0</v>
      </c>
      <c r="AA37" s="549">
        <f>Y37*係数!$H$30</f>
        <v>0</v>
      </c>
      <c r="AB37" s="615"/>
      <c r="AC37" s="578">
        <f t="shared" si="6"/>
        <v>0</v>
      </c>
      <c r="AD37" s="579">
        <f>AC37*係数!$H$30</f>
        <v>0</v>
      </c>
    </row>
    <row r="38" spans="2:30" x14ac:dyDescent="0.55000000000000004">
      <c r="B38" s="194" t="s">
        <v>70</v>
      </c>
      <c r="C38" s="25"/>
      <c r="D38" s="25"/>
      <c r="E38" s="6"/>
      <c r="F38" s="427">
        <f t="shared" si="3"/>
        <v>1</v>
      </c>
      <c r="G38" s="204"/>
      <c r="H38" s="139"/>
      <c r="I38" s="99"/>
      <c r="J38" s="99"/>
      <c r="K38" s="501">
        <f t="shared" si="1"/>
        <v>0</v>
      </c>
      <c r="L38" s="207"/>
      <c r="M38" s="139"/>
      <c r="N38" s="99"/>
      <c r="O38" s="99"/>
      <c r="P38" s="501">
        <f t="shared" si="4"/>
        <v>0</v>
      </c>
      <c r="Q38" s="97">
        <f t="shared" si="5"/>
        <v>0</v>
      </c>
      <c r="R38" s="98">
        <f>Q38*係数!$H$30</f>
        <v>0</v>
      </c>
      <c r="S38" s="25"/>
      <c r="T38" s="6"/>
      <c r="U38" s="204"/>
      <c r="V38" s="209"/>
      <c r="W38" s="139"/>
      <c r="X38" s="139"/>
      <c r="Y38" s="97">
        <f t="shared" si="2"/>
        <v>0</v>
      </c>
      <c r="Z38" s="548">
        <f>Y38*係数!$C$30*0.0000258</f>
        <v>0</v>
      </c>
      <c r="AA38" s="549">
        <f>Y38*係数!$H$30</f>
        <v>0</v>
      </c>
      <c r="AB38" s="615"/>
      <c r="AC38" s="578">
        <f t="shared" si="6"/>
        <v>0</v>
      </c>
      <c r="AD38" s="579">
        <f>AC38*係数!$H$30</f>
        <v>0</v>
      </c>
    </row>
    <row r="39" spans="2:30" x14ac:dyDescent="0.55000000000000004">
      <c r="B39" s="194" t="s">
        <v>71</v>
      </c>
      <c r="C39" s="25"/>
      <c r="D39" s="25"/>
      <c r="E39" s="6"/>
      <c r="F39" s="427">
        <f t="shared" si="3"/>
        <v>1</v>
      </c>
      <c r="G39" s="204"/>
      <c r="H39" s="139"/>
      <c r="I39" s="99"/>
      <c r="J39" s="99"/>
      <c r="K39" s="501">
        <f t="shared" si="1"/>
        <v>0</v>
      </c>
      <c r="L39" s="207"/>
      <c r="M39" s="139"/>
      <c r="N39" s="99"/>
      <c r="O39" s="99"/>
      <c r="P39" s="501">
        <f t="shared" si="4"/>
        <v>0</v>
      </c>
      <c r="Q39" s="97">
        <f t="shared" si="5"/>
        <v>0</v>
      </c>
      <c r="R39" s="98">
        <f>Q39*係数!$H$30</f>
        <v>0</v>
      </c>
      <c r="S39" s="25"/>
      <c r="T39" s="6"/>
      <c r="U39" s="204"/>
      <c r="V39" s="209"/>
      <c r="W39" s="139"/>
      <c r="X39" s="139"/>
      <c r="Y39" s="97">
        <f t="shared" si="2"/>
        <v>0</v>
      </c>
      <c r="Z39" s="548">
        <f>Y39*係数!$C$30*0.0000258</f>
        <v>0</v>
      </c>
      <c r="AA39" s="549">
        <f>Y39*係数!$H$30</f>
        <v>0</v>
      </c>
      <c r="AB39" s="615"/>
      <c r="AC39" s="578">
        <f t="shared" si="6"/>
        <v>0</v>
      </c>
      <c r="AD39" s="579">
        <f>AC39*係数!$H$30</f>
        <v>0</v>
      </c>
    </row>
    <row r="40" spans="2:30" x14ac:dyDescent="0.55000000000000004">
      <c r="G40" s="130"/>
      <c r="H40" s="130"/>
    </row>
  </sheetData>
  <sheetProtection password="CC4B" sheet="1" formatCells="0" formatColumns="0" formatRows="0"/>
  <mergeCells count="13">
    <mergeCell ref="B14:B16"/>
    <mergeCell ref="Y14:AA15"/>
    <mergeCell ref="D3:E3"/>
    <mergeCell ref="M3:V3"/>
    <mergeCell ref="D4:E4"/>
    <mergeCell ref="M4:V4"/>
    <mergeCell ref="D5:E5"/>
    <mergeCell ref="D6:E6"/>
    <mergeCell ref="M6:V6"/>
    <mergeCell ref="D7:E7"/>
    <mergeCell ref="M7:N7"/>
    <mergeCell ref="Q7:V8"/>
    <mergeCell ref="M8:N8"/>
  </mergeCells>
  <phoneticPr fontId="5"/>
  <conditionalFormatting sqref="G6:H7 C11:C12 J4:J7 C20:H39 J20:M39 O20:W39 Y20:AB39">
    <cfRule type="expression" dxfId="70" priority="7">
      <formula>$F$1="なし"</formula>
    </cfRule>
  </conditionalFormatting>
  <conditionalFormatting sqref="U19">
    <cfRule type="cellIs" dxfId="69" priority="6" operator="greaterThan">
      <formula>$G$19</formula>
    </cfRule>
  </conditionalFormatting>
  <conditionalFormatting sqref="V19">
    <cfRule type="cellIs" dxfId="68" priority="5" operator="greaterThan">
      <formula>$L$19</formula>
    </cfRule>
  </conditionalFormatting>
  <conditionalFormatting sqref="Q7">
    <cfRule type="cellIs" dxfId="67" priority="4" operator="notEqual">
      <formula>"ー"</formula>
    </cfRule>
  </conditionalFormatting>
  <conditionalFormatting sqref="I20:I39">
    <cfRule type="expression" dxfId="66" priority="3">
      <formula>$F$1="なし"</formula>
    </cfRule>
  </conditionalFormatting>
  <conditionalFormatting sqref="N20:N39">
    <cfRule type="expression" dxfId="65" priority="2">
      <formula>$F$1="なし"</formula>
    </cfRule>
  </conditionalFormatting>
  <conditionalFormatting sqref="X20:X39">
    <cfRule type="expression" dxfId="64" priority="1">
      <formula>$F$1="なし"</formula>
    </cfRule>
  </conditionalFormatting>
  <dataValidations count="2">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1:C12">
      <formula1>0.4</formula1>
    </dataValidation>
    <dataValidation type="whole" allowBlank="1" showInputMessage="1" showErrorMessage="1" sqref="T18">
      <formula1>0</formula1>
      <formula2>E18</formula2>
    </dataValidation>
  </dataValidations>
  <pageMargins left="0.70866141732283472" right="0.70866141732283472" top="0.74803149606299213" bottom="0.74803149606299213" header="0.31496062992125984" footer="0.31496062992125984"/>
  <pageSetup paperSize="9" scale="38" fitToHeight="0" orientation="landscape" r:id="rId1"/>
  <ignoredErrors>
    <ignoredError sqref="AA19 Y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3"/>
  <sheetViews>
    <sheetView view="pageBreakPreview" topLeftCell="A6" zoomScaleNormal="70" zoomScaleSheetLayoutView="100" workbookViewId="0">
      <selection activeCell="C23" sqref="C23"/>
    </sheetView>
  </sheetViews>
  <sheetFormatPr defaultColWidth="8.83203125" defaultRowHeight="18" x14ac:dyDescent="0.55000000000000004"/>
  <cols>
    <col min="1" max="1" width="11.08203125" style="27" customWidth="1"/>
    <col min="2" max="2" width="9.1640625" style="27" customWidth="1"/>
    <col min="3" max="15" width="11.33203125" style="27" customWidth="1"/>
    <col min="16" max="16" width="11.08203125" style="27" customWidth="1"/>
    <col min="17" max="17" width="11.33203125" style="27" customWidth="1"/>
    <col min="18" max="21" width="9.1640625" style="27" customWidth="1"/>
    <col min="22" max="27" width="11.33203125" style="27" customWidth="1"/>
    <col min="28" max="38" width="9.1640625" style="27" customWidth="1"/>
    <col min="39" max="39" width="9.1640625" style="37" customWidth="1"/>
    <col min="40" max="54" width="9.1640625" style="27" customWidth="1"/>
    <col min="55" max="16384" width="8.83203125" style="27"/>
  </cols>
  <sheetData>
    <row r="1" spans="1:53" ht="29" x14ac:dyDescent="0.85">
      <c r="A1" s="26" t="s">
        <v>531</v>
      </c>
      <c r="D1"/>
      <c r="F1" s="292"/>
      <c r="G1" s="285"/>
      <c r="H1" s="292"/>
      <c r="I1" s="296"/>
      <c r="J1" s="292"/>
      <c r="K1" s="292"/>
      <c r="L1" s="297"/>
      <c r="M1" s="292"/>
      <c r="N1" s="37"/>
    </row>
    <row r="3" spans="1:53" ht="20.399999999999999" customHeight="1" x14ac:dyDescent="0.55000000000000004">
      <c r="D3" s="680" t="s">
        <v>22</v>
      </c>
      <c r="E3" s="681"/>
      <c r="F3" s="167" t="s">
        <v>23</v>
      </c>
      <c r="G3" s="153" t="s">
        <v>24</v>
      </c>
      <c r="H3" s="153" t="s">
        <v>25</v>
      </c>
      <c r="I3" s="153" t="s">
        <v>26</v>
      </c>
      <c r="J3" s="180" t="s">
        <v>27</v>
      </c>
      <c r="M3" s="635" t="s">
        <v>440</v>
      </c>
      <c r="N3" s="636"/>
      <c r="O3" s="636"/>
      <c r="P3" s="636"/>
      <c r="Q3" s="636"/>
      <c r="R3" s="636"/>
      <c r="S3" s="636"/>
      <c r="T3" s="636"/>
      <c r="U3" s="637"/>
      <c r="W3" s="684" t="s">
        <v>526</v>
      </c>
      <c r="X3" s="685"/>
      <c r="Y3" s="197" t="s">
        <v>125</v>
      </c>
      <c r="Z3" s="450" t="s">
        <v>524</v>
      </c>
      <c r="AA3" s="451" t="s">
        <v>525</v>
      </c>
      <c r="AN3" s="583"/>
      <c r="AO3" s="583"/>
      <c r="AP3" s="583"/>
      <c r="AQ3" s="583"/>
      <c r="AR3" s="583"/>
      <c r="AS3" s="583"/>
      <c r="AT3" s="583"/>
    </row>
    <row r="4" spans="1:53" ht="20.399999999999999" customHeight="1" x14ac:dyDescent="0.55000000000000004">
      <c r="D4" s="682" t="s">
        <v>103</v>
      </c>
      <c r="E4" s="683"/>
      <c r="F4" s="182" t="s">
        <v>21</v>
      </c>
      <c r="G4" s="122">
        <f>S22</f>
        <v>0</v>
      </c>
      <c r="H4" s="122">
        <f>AF22</f>
        <v>0</v>
      </c>
      <c r="I4" s="122">
        <f>G4-H4</f>
        <v>0</v>
      </c>
      <c r="J4" s="22">
        <f>IF(OR(G4=0,I4=0),0,I4/G4)</f>
        <v>0</v>
      </c>
      <c r="M4" s="657"/>
      <c r="N4" s="658"/>
      <c r="O4" s="658"/>
      <c r="P4" s="658"/>
      <c r="Q4" s="658"/>
      <c r="R4" s="658"/>
      <c r="S4" s="658"/>
      <c r="T4" s="658"/>
      <c r="U4" s="659"/>
      <c r="V4" s="34"/>
      <c r="W4" s="656" t="s">
        <v>523</v>
      </c>
      <c r="X4" s="197" t="s">
        <v>126</v>
      </c>
      <c r="Y4" s="33">
        <v>11000</v>
      </c>
      <c r="Z4" s="581">
        <f>係数!$H$25</f>
        <v>2.2440000000000003E-3</v>
      </c>
      <c r="AA4" s="24" t="s">
        <v>127</v>
      </c>
      <c r="AN4" s="583"/>
      <c r="AO4" s="583"/>
      <c r="AP4" s="583"/>
      <c r="AQ4" s="583"/>
      <c r="AR4" s="583"/>
      <c r="AS4" s="583"/>
      <c r="AT4" s="583"/>
    </row>
    <row r="5" spans="1:53" ht="20.399999999999999" customHeight="1" x14ac:dyDescent="0.55000000000000004">
      <c r="D5" s="684" t="s">
        <v>129</v>
      </c>
      <c r="E5" s="685"/>
      <c r="F5" s="575" t="s">
        <v>130</v>
      </c>
      <c r="G5" s="121">
        <f>T22</f>
        <v>0</v>
      </c>
      <c r="H5" s="121">
        <f>AG22</f>
        <v>0</v>
      </c>
      <c r="I5" s="122">
        <f>G5-H5</f>
        <v>0</v>
      </c>
      <c r="J5" s="22">
        <f>IF(OR(G5=0,I5=0),0,I5/G5)</f>
        <v>0</v>
      </c>
      <c r="M5" s="76"/>
      <c r="V5" s="34"/>
      <c r="W5" s="656"/>
      <c r="X5" s="197" t="s">
        <v>128</v>
      </c>
      <c r="Y5" s="33">
        <v>10000</v>
      </c>
      <c r="Z5" s="581">
        <f>係数!$H$25</f>
        <v>2.2440000000000003E-3</v>
      </c>
      <c r="AA5" s="24" t="s">
        <v>127</v>
      </c>
    </row>
    <row r="6" spans="1:53" ht="20.399999999999999" customHeight="1" x14ac:dyDescent="0.55000000000000004">
      <c r="D6" s="682" t="s">
        <v>104</v>
      </c>
      <c r="E6" s="683"/>
      <c r="F6" s="195" t="s">
        <v>9</v>
      </c>
      <c r="G6" s="119">
        <f>U22</f>
        <v>0</v>
      </c>
      <c r="H6" s="119">
        <f>AH22</f>
        <v>0</v>
      </c>
      <c r="I6" s="166">
        <f>G6-H6</f>
        <v>0</v>
      </c>
      <c r="J6" s="22">
        <f>IF(OR(G6=0,I6=0),0,I6/G6)</f>
        <v>0</v>
      </c>
      <c r="M6" s="670" t="s">
        <v>436</v>
      </c>
      <c r="N6" s="670"/>
      <c r="O6" s="670"/>
      <c r="P6" s="670"/>
      <c r="Q6" s="670"/>
      <c r="R6" s="670"/>
      <c r="S6" s="670"/>
      <c r="T6" s="670"/>
      <c r="U6" s="670"/>
      <c r="V6" s="34"/>
      <c r="W6" s="197" t="s">
        <v>527</v>
      </c>
      <c r="X6" s="197" t="s">
        <v>131</v>
      </c>
      <c r="Y6" s="452">
        <v>24000</v>
      </c>
      <c r="Z6" s="582">
        <f>係数!$H$13</f>
        <v>2.998893333333333E-3</v>
      </c>
      <c r="AA6" s="36" t="s">
        <v>132</v>
      </c>
      <c r="AN6" s="583"/>
      <c r="AO6" s="583"/>
      <c r="AP6" s="146"/>
      <c r="AQ6" s="146"/>
      <c r="AR6" s="146"/>
      <c r="AS6" s="146"/>
    </row>
    <row r="7" spans="1:53" x14ac:dyDescent="0.55000000000000004">
      <c r="D7" s="682" t="s">
        <v>3</v>
      </c>
      <c r="E7" s="683"/>
      <c r="F7" s="182" t="s">
        <v>30</v>
      </c>
      <c r="G7" s="304" t="str">
        <f>IF(使用量と光熱費!$I$6=0,"ー",G5*使用量と光熱費!$I$6)</f>
        <v>ー</v>
      </c>
      <c r="H7" s="304" t="str">
        <f>IF(使用量と光熱費!$I$6=0,"ー",H5*使用量と光熱費!$I$6)</f>
        <v>ー</v>
      </c>
      <c r="I7" s="305" t="str">
        <f>IF(OR(G7="ー",H7="ー"),"ー",G7-H7)</f>
        <v>ー</v>
      </c>
      <c r="J7" s="294" t="str">
        <f>IF(OR(G7="ー",I7="ー"),"ー",I7/G7)</f>
        <v>ー</v>
      </c>
      <c r="M7" s="684" t="s">
        <v>439</v>
      </c>
      <c r="N7" s="685"/>
      <c r="O7" s="182" t="s">
        <v>106</v>
      </c>
      <c r="P7" s="182" t="s">
        <v>107</v>
      </c>
      <c r="Q7" s="660" t="str">
        <f>IF(OR(OR(O8="",P8=""),AND(O8="なし",P8="なし")),"ー",IF(COUNTIF(O8:P8,"増加")&gt;0,"やむを得ず増加する場合は特記事項欄に理由を記載してください。(要根拠資料提出)","減少する理由を特記事項欄に記載してください。"))</f>
        <v>ー</v>
      </c>
      <c r="R7" s="661"/>
      <c r="S7" s="661"/>
      <c r="T7" s="661"/>
      <c r="U7" s="662"/>
      <c r="W7" s="684" t="s">
        <v>442</v>
      </c>
      <c r="X7" s="685"/>
      <c r="Y7" s="33">
        <f>IF(E10="","",VLOOKUP($E$10,$X$4:$Z$6,2,FALSE))</f>
        <v>11000</v>
      </c>
      <c r="Z7" s="449"/>
      <c r="AA7" s="33" t="s">
        <v>125</v>
      </c>
    </row>
    <row r="8" spans="1:53" x14ac:dyDescent="0.55000000000000004">
      <c r="D8" s="682" t="s">
        <v>31</v>
      </c>
      <c r="E8" s="683"/>
      <c r="F8" s="182" t="s">
        <v>32</v>
      </c>
      <c r="G8" s="120">
        <f>(G4*係数!$C$30+G5*VLOOKUP($D$10,係数!$B$3:$C$30,2,FALSE))*0.0000258</f>
        <v>0</v>
      </c>
      <c r="H8" s="120">
        <f>(H4*係数!$C$30+H5*VLOOKUP($D$10,係数!$B$3:$C$30,2,FALSE))*0.0000258</f>
        <v>0</v>
      </c>
      <c r="I8" s="166">
        <f>G8-H8</f>
        <v>0</v>
      </c>
      <c r="J8" s="22">
        <f>IF(OR(G8=0,I8=0),0,I8/G8)</f>
        <v>0</v>
      </c>
      <c r="M8" s="666" t="s">
        <v>274</v>
      </c>
      <c r="N8" s="667"/>
      <c r="O8" s="152" t="str">
        <f>IF(OR(G22=0,X22=0),"",IF(G22=X22,"なし",IF(G22&gt;X22,"減少","増加")))</f>
        <v/>
      </c>
      <c r="P8" s="152" t="str">
        <f>IF(OR(M22=0,AB22=0),"",IF(M22=AB22,"なし",IF(M22&gt;AB22,"減少","増加")))</f>
        <v/>
      </c>
      <c r="Q8" s="663"/>
      <c r="R8" s="664"/>
      <c r="S8" s="664"/>
      <c r="T8" s="664"/>
      <c r="U8" s="665"/>
      <c r="AN8" s="583"/>
      <c r="AO8" s="583"/>
      <c r="AP8" s="146"/>
      <c r="AQ8" s="146"/>
      <c r="AR8" s="146"/>
      <c r="AS8" s="146"/>
    </row>
    <row r="9" spans="1:53" x14ac:dyDescent="0.55000000000000004">
      <c r="D9" s="197" t="s">
        <v>133</v>
      </c>
      <c r="E9" s="197" t="s">
        <v>134</v>
      </c>
      <c r="F9" s="201" t="s">
        <v>135</v>
      </c>
      <c r="G9" s="214"/>
      <c r="H9" s="670" t="s">
        <v>136</v>
      </c>
      <c r="I9" s="670"/>
      <c r="J9" s="194" t="s">
        <v>137</v>
      </c>
      <c r="M9" s="82"/>
      <c r="N9" s="82"/>
      <c r="O9" s="82"/>
      <c r="P9" s="84"/>
      <c r="Q9" s="82"/>
      <c r="R9" s="82"/>
      <c r="S9" s="82"/>
      <c r="T9" s="82"/>
      <c r="U9" s="82"/>
    </row>
    <row r="10" spans="1:53" x14ac:dyDescent="0.55000000000000004">
      <c r="A10" s="37"/>
      <c r="D10" s="46" t="s">
        <v>913</v>
      </c>
      <c r="E10" s="38" t="s">
        <v>914</v>
      </c>
      <c r="F10" s="24">
        <f>IF(D10="","",VLOOKUP(D10,係数!$B$3:$I$30,7,FALSE))</f>
        <v>2.2440000000000003E-3</v>
      </c>
      <c r="G10" s="24" t="str">
        <f>IF(D10="","",VLOOKUP(D10,係数!$B$3:$I$30,8,FALSE))</f>
        <v>tCO2/㎥</v>
      </c>
      <c r="H10" s="688">
        <f>IF(Y7="","",Y7)</f>
        <v>11000</v>
      </c>
      <c r="I10" s="688"/>
      <c r="J10" s="24">
        <f>IF(E10="LP",使用量と光熱費!I8,使用量と光熱費!I7)</f>
        <v>0</v>
      </c>
      <c r="AN10" s="583"/>
      <c r="AO10" s="583"/>
      <c r="AP10" s="146"/>
      <c r="AQ10" s="146"/>
      <c r="AR10" s="146"/>
      <c r="AS10" s="146"/>
    </row>
    <row r="11" spans="1:53" s="82" customFormat="1" x14ac:dyDescent="0.55000000000000004">
      <c r="A11" s="37"/>
      <c r="B11" s="84"/>
      <c r="D11" s="81"/>
      <c r="E11" s="81"/>
      <c r="F11" s="37"/>
      <c r="G11" s="37"/>
      <c r="H11" s="83"/>
      <c r="I11" s="83"/>
      <c r="J11" s="37"/>
      <c r="AM11" s="37"/>
    </row>
    <row r="12" spans="1:53" s="82" customFormat="1" x14ac:dyDescent="0.55000000000000004">
      <c r="A12" s="37"/>
      <c r="B12" s="85"/>
      <c r="D12" s="81"/>
      <c r="E12" s="81"/>
      <c r="F12" s="37"/>
      <c r="G12" s="37"/>
      <c r="H12" s="83"/>
      <c r="I12" s="83"/>
      <c r="J12" s="37"/>
      <c r="AM12" s="37"/>
      <c r="AN12" s="82" t="s">
        <v>1057</v>
      </c>
      <c r="AS12" s="82" t="s">
        <v>1059</v>
      </c>
    </row>
    <row r="13" spans="1:53" s="82" customFormat="1" x14ac:dyDescent="0.55000000000000004">
      <c r="A13" s="37"/>
      <c r="B13" s="193"/>
      <c r="C13" s="193" t="s">
        <v>102</v>
      </c>
      <c r="D13" s="81"/>
      <c r="E13" s="81"/>
      <c r="F13" s="37"/>
      <c r="G13" s="37"/>
      <c r="H13" s="83"/>
      <c r="I13" s="83"/>
      <c r="J13" s="37"/>
      <c r="AM13" s="37"/>
    </row>
    <row r="14" spans="1:53" s="82" customFormat="1" ht="20" x14ac:dyDescent="0.65">
      <c r="A14" s="37"/>
      <c r="B14" s="194" t="s">
        <v>438</v>
      </c>
      <c r="C14" s="28">
        <v>0.4</v>
      </c>
      <c r="D14" s="81"/>
      <c r="E14" s="81"/>
      <c r="F14" s="37"/>
      <c r="G14" s="37"/>
      <c r="H14" s="83"/>
      <c r="I14" s="83"/>
      <c r="J14" s="37"/>
      <c r="AM14" s="37"/>
      <c r="AN14" s="686" t="s">
        <v>1060</v>
      </c>
      <c r="AO14" s="686"/>
      <c r="AP14" s="686"/>
      <c r="AQ14" s="686"/>
      <c r="AR14" s="686"/>
      <c r="AS14" s="686"/>
      <c r="AT14" s="686"/>
      <c r="AU14" s="587"/>
      <c r="AV14" s="587"/>
      <c r="AW14" s="587"/>
      <c r="AX14" s="587"/>
      <c r="AY14" s="587"/>
      <c r="AZ14" s="587"/>
      <c r="BA14" s="587"/>
    </row>
    <row r="15" spans="1:53" s="82" customFormat="1" ht="20" x14ac:dyDescent="0.65">
      <c r="A15" s="37"/>
      <c r="B15" s="194" t="s">
        <v>464</v>
      </c>
      <c r="C15" s="28">
        <v>0.4</v>
      </c>
      <c r="D15" s="81"/>
      <c r="E15" s="81"/>
      <c r="F15" s="37"/>
      <c r="G15" s="37"/>
      <c r="H15" s="83"/>
      <c r="I15" s="83"/>
      <c r="J15" s="37"/>
      <c r="P15" s="84"/>
      <c r="AM15" s="37"/>
      <c r="AN15" s="687" t="s">
        <v>1058</v>
      </c>
      <c r="AO15" s="687"/>
      <c r="AP15" s="687"/>
      <c r="AQ15" s="687"/>
      <c r="AR15" s="687"/>
      <c r="AS15" s="687"/>
      <c r="AT15" s="687"/>
      <c r="AU15" s="587"/>
      <c r="AV15" s="587"/>
      <c r="AW15" s="587"/>
      <c r="AX15" s="587"/>
      <c r="AY15" s="587"/>
      <c r="AZ15" s="587"/>
      <c r="BA15" s="587"/>
    </row>
    <row r="16" spans="1:53" x14ac:dyDescent="0.55000000000000004">
      <c r="A16" s="27" t="s">
        <v>33</v>
      </c>
      <c r="AN16" s="588"/>
      <c r="AO16" s="588"/>
      <c r="AP16" s="588"/>
      <c r="AQ16" s="588"/>
      <c r="AR16" s="588"/>
      <c r="AS16" s="588"/>
      <c r="AT16" s="588"/>
    </row>
    <row r="17" spans="2:53" x14ac:dyDescent="0.55000000000000004">
      <c r="B17" s="677" t="s">
        <v>22</v>
      </c>
      <c r="C17" s="229" t="s">
        <v>24</v>
      </c>
      <c r="D17" s="217"/>
      <c r="E17" s="217"/>
      <c r="F17" s="217"/>
      <c r="G17" s="217"/>
      <c r="H17" s="217"/>
      <c r="I17" s="217"/>
      <c r="J17" s="217"/>
      <c r="K17" s="217"/>
      <c r="L17" s="217"/>
      <c r="M17" s="217"/>
      <c r="N17" s="217"/>
      <c r="O17" s="217"/>
      <c r="P17" s="217"/>
      <c r="Q17" s="217"/>
      <c r="R17" s="217"/>
      <c r="S17" s="217"/>
      <c r="T17" s="217"/>
      <c r="U17" s="214"/>
      <c r="V17" s="218" t="s">
        <v>105</v>
      </c>
      <c r="W17" s="230"/>
      <c r="X17" s="230"/>
      <c r="Y17" s="217"/>
      <c r="Z17" s="219"/>
      <c r="AA17" s="219"/>
      <c r="AB17" s="219"/>
      <c r="AC17" s="217"/>
      <c r="AD17" s="219"/>
      <c r="AE17" s="219"/>
      <c r="AF17" s="217"/>
      <c r="AG17" s="219"/>
      <c r="AH17" s="214"/>
      <c r="AI17" s="671" t="s">
        <v>34</v>
      </c>
      <c r="AJ17" s="672"/>
      <c r="AK17" s="672"/>
      <c r="AL17" s="673"/>
      <c r="AM17" s="607"/>
      <c r="AN17" s="656" t="s">
        <v>24</v>
      </c>
      <c r="AO17" s="656"/>
      <c r="AP17" s="656"/>
      <c r="AQ17" s="656"/>
      <c r="AR17" s="656"/>
      <c r="AS17" s="656"/>
      <c r="AT17" s="656"/>
      <c r="AU17" s="656" t="s">
        <v>1047</v>
      </c>
      <c r="AV17" s="656"/>
      <c r="AW17" s="656"/>
      <c r="AX17" s="656"/>
      <c r="AY17" s="656"/>
      <c r="AZ17" s="656"/>
      <c r="BA17" s="656"/>
    </row>
    <row r="18" spans="2:53" x14ac:dyDescent="0.55000000000000004">
      <c r="B18" s="678"/>
      <c r="C18" s="220"/>
      <c r="D18" s="221"/>
      <c r="E18" s="231"/>
      <c r="F18" s="214"/>
      <c r="G18" s="224" t="s">
        <v>106</v>
      </c>
      <c r="H18" s="196"/>
      <c r="I18" s="219"/>
      <c r="J18" s="219"/>
      <c r="K18" s="219"/>
      <c r="L18" s="219"/>
      <c r="M18" s="224" t="s">
        <v>107</v>
      </c>
      <c r="N18" s="196"/>
      <c r="O18" s="219"/>
      <c r="P18" s="219"/>
      <c r="Q18" s="219"/>
      <c r="R18" s="219"/>
      <c r="S18" s="198" t="s">
        <v>108</v>
      </c>
      <c r="T18" s="219"/>
      <c r="U18" s="200"/>
      <c r="V18" s="220"/>
      <c r="W18" s="221"/>
      <c r="X18" s="224" t="s">
        <v>106</v>
      </c>
      <c r="Y18" s="219"/>
      <c r="Z18" s="219"/>
      <c r="AA18" s="219"/>
      <c r="AB18" s="224" t="s">
        <v>107</v>
      </c>
      <c r="AC18" s="196"/>
      <c r="AD18" s="219"/>
      <c r="AE18" s="219"/>
      <c r="AF18" s="198" t="s">
        <v>108</v>
      </c>
      <c r="AG18" s="219"/>
      <c r="AH18" s="199"/>
      <c r="AI18" s="674"/>
      <c r="AJ18" s="675"/>
      <c r="AK18" s="675"/>
      <c r="AL18" s="676"/>
      <c r="AM18" s="607"/>
      <c r="AN18" s="656"/>
      <c r="AO18" s="656"/>
      <c r="AP18" s="656"/>
      <c r="AQ18" s="656"/>
      <c r="AR18" s="656"/>
      <c r="AS18" s="656"/>
      <c r="AT18" s="656"/>
      <c r="AU18" s="656"/>
      <c r="AV18" s="656"/>
      <c r="AW18" s="656"/>
      <c r="AX18" s="656"/>
      <c r="AY18" s="656"/>
      <c r="AZ18" s="656"/>
      <c r="BA18" s="656"/>
    </row>
    <row r="19" spans="2:53" ht="56" x14ac:dyDescent="0.55000000000000004">
      <c r="B19" s="679"/>
      <c r="C19" s="471" t="s">
        <v>909</v>
      </c>
      <c r="D19" s="471" t="s">
        <v>908</v>
      </c>
      <c r="E19" s="472" t="s">
        <v>110</v>
      </c>
      <c r="F19" s="471" t="s">
        <v>502</v>
      </c>
      <c r="G19" s="471" t="s">
        <v>903</v>
      </c>
      <c r="H19" s="471" t="s">
        <v>904</v>
      </c>
      <c r="I19" s="471" t="s">
        <v>910</v>
      </c>
      <c r="J19" s="471" t="s">
        <v>911</v>
      </c>
      <c r="K19" s="471" t="s">
        <v>912</v>
      </c>
      <c r="L19" s="472" t="s">
        <v>905</v>
      </c>
      <c r="M19" s="472" t="s">
        <v>903</v>
      </c>
      <c r="N19" s="471" t="s">
        <v>906</v>
      </c>
      <c r="O19" s="471" t="s">
        <v>915</v>
      </c>
      <c r="P19" s="471" t="s">
        <v>911</v>
      </c>
      <c r="Q19" s="471" t="s">
        <v>912</v>
      </c>
      <c r="R19" s="472" t="s">
        <v>907</v>
      </c>
      <c r="S19" s="472" t="s">
        <v>115</v>
      </c>
      <c r="T19" s="471" t="s">
        <v>140</v>
      </c>
      <c r="U19" s="472" t="s">
        <v>1076</v>
      </c>
      <c r="V19" s="471" t="s">
        <v>909</v>
      </c>
      <c r="W19" s="472" t="s">
        <v>117</v>
      </c>
      <c r="X19" s="472" t="s">
        <v>903</v>
      </c>
      <c r="Y19" s="471" t="s">
        <v>916</v>
      </c>
      <c r="Z19" s="471" t="s">
        <v>917</v>
      </c>
      <c r="AA19" s="472" t="s">
        <v>918</v>
      </c>
      <c r="AB19" s="472" t="s">
        <v>903</v>
      </c>
      <c r="AC19" s="471" t="s">
        <v>919</v>
      </c>
      <c r="AD19" s="471" t="s">
        <v>920</v>
      </c>
      <c r="AE19" s="472" t="s">
        <v>921</v>
      </c>
      <c r="AF19" s="472" t="s">
        <v>122</v>
      </c>
      <c r="AG19" s="471" t="s">
        <v>143</v>
      </c>
      <c r="AH19" s="472" t="s">
        <v>44</v>
      </c>
      <c r="AI19" s="474" t="s">
        <v>45</v>
      </c>
      <c r="AJ19" s="472" t="s">
        <v>145</v>
      </c>
      <c r="AK19" s="472" t="s">
        <v>926</v>
      </c>
      <c r="AL19" s="474" t="s">
        <v>46</v>
      </c>
      <c r="AM19" s="608"/>
      <c r="AN19" s="471" t="s">
        <v>1045</v>
      </c>
      <c r="AO19" s="471" t="s">
        <v>1046</v>
      </c>
      <c r="AP19" s="471" t="s">
        <v>1053</v>
      </c>
      <c r="AQ19" s="471" t="s">
        <v>1054</v>
      </c>
      <c r="AR19" s="471" t="s">
        <v>1055</v>
      </c>
      <c r="AS19" s="471" t="s">
        <v>1056</v>
      </c>
      <c r="AT19" s="471" t="s">
        <v>1049</v>
      </c>
      <c r="AU19" s="471" t="s">
        <v>1045</v>
      </c>
      <c r="AV19" s="471" t="s">
        <v>1046</v>
      </c>
      <c r="AW19" s="471" t="s">
        <v>1053</v>
      </c>
      <c r="AX19" s="471" t="s">
        <v>1054</v>
      </c>
      <c r="AY19" s="471" t="s">
        <v>1055</v>
      </c>
      <c r="AZ19" s="471" t="s">
        <v>1056</v>
      </c>
      <c r="BA19" s="471" t="s">
        <v>1049</v>
      </c>
    </row>
    <row r="20" spans="2:53" x14ac:dyDescent="0.55000000000000004">
      <c r="B20" s="227" t="s">
        <v>23</v>
      </c>
      <c r="C20" s="570"/>
      <c r="D20" s="529" t="s">
        <v>1041</v>
      </c>
      <c r="E20" s="182" t="s">
        <v>48</v>
      </c>
      <c r="F20" s="354"/>
      <c r="G20" s="182" t="s">
        <v>275</v>
      </c>
      <c r="H20" s="182" t="s">
        <v>124</v>
      </c>
      <c r="I20" s="182" t="s">
        <v>124</v>
      </c>
      <c r="J20" s="529" t="s">
        <v>1039</v>
      </c>
      <c r="K20" s="529" t="s">
        <v>1040</v>
      </c>
      <c r="L20" s="182" t="s">
        <v>51</v>
      </c>
      <c r="M20" s="182" t="s">
        <v>275</v>
      </c>
      <c r="N20" s="182" t="s">
        <v>124</v>
      </c>
      <c r="O20" s="182" t="s">
        <v>124</v>
      </c>
      <c r="P20" s="493" t="s">
        <v>1039</v>
      </c>
      <c r="Q20" s="493" t="s">
        <v>1040</v>
      </c>
      <c r="R20" s="182" t="s">
        <v>51</v>
      </c>
      <c r="S20" s="182" t="s">
        <v>21</v>
      </c>
      <c r="T20" s="575" t="s">
        <v>130</v>
      </c>
      <c r="U20" s="195" t="s">
        <v>9</v>
      </c>
      <c r="V20" s="570"/>
      <c r="W20" s="182" t="s">
        <v>48</v>
      </c>
      <c r="X20" s="182" t="s">
        <v>275</v>
      </c>
      <c r="Y20" s="182" t="s">
        <v>124</v>
      </c>
      <c r="Z20" s="182" t="s">
        <v>124</v>
      </c>
      <c r="AA20" s="182" t="s">
        <v>51</v>
      </c>
      <c r="AB20" s="182" t="s">
        <v>275</v>
      </c>
      <c r="AC20" s="182" t="s">
        <v>124</v>
      </c>
      <c r="AD20" s="182" t="s">
        <v>124</v>
      </c>
      <c r="AE20" s="182" t="s">
        <v>51</v>
      </c>
      <c r="AF20" s="182" t="s">
        <v>21</v>
      </c>
      <c r="AG20" s="213" t="s">
        <v>130</v>
      </c>
      <c r="AH20" s="195" t="s">
        <v>9</v>
      </c>
      <c r="AI20" s="182" t="s">
        <v>21</v>
      </c>
      <c r="AJ20" s="213" t="s">
        <v>146</v>
      </c>
      <c r="AK20" s="213" t="s">
        <v>1033</v>
      </c>
      <c r="AL20" s="195" t="s">
        <v>9</v>
      </c>
      <c r="AM20" s="609"/>
      <c r="AN20" s="354"/>
      <c r="AO20" s="354"/>
      <c r="AP20" s="354"/>
      <c r="AQ20" s="354"/>
      <c r="AR20" s="354"/>
      <c r="AS20" s="354"/>
      <c r="AT20" s="354"/>
      <c r="AU20" s="354"/>
      <c r="AV20" s="354"/>
      <c r="AW20" s="354"/>
      <c r="AX20" s="354"/>
      <c r="AY20" s="354"/>
      <c r="AZ20" s="354"/>
      <c r="BA20" s="354"/>
    </row>
    <row r="21" spans="2:53" x14ac:dyDescent="0.55000000000000004">
      <c r="B21" s="186" t="s">
        <v>266</v>
      </c>
      <c r="C21" s="261" t="s">
        <v>431</v>
      </c>
      <c r="D21" s="261">
        <v>2006</v>
      </c>
      <c r="E21" s="187">
        <v>1</v>
      </c>
      <c r="F21" s="188">
        <f>IF(D21="",1,MIN(1.5,(2023-D21)*0.05+1))</f>
        <v>1.5</v>
      </c>
      <c r="G21" s="262">
        <v>28</v>
      </c>
      <c r="H21" s="263">
        <v>0.88</v>
      </c>
      <c r="I21" s="263">
        <v>32.6</v>
      </c>
      <c r="J21" s="502">
        <v>10</v>
      </c>
      <c r="K21" s="502">
        <v>122</v>
      </c>
      <c r="L21" s="191">
        <f>J21*K21</f>
        <v>1220</v>
      </c>
      <c r="M21" s="264">
        <v>33.5</v>
      </c>
      <c r="N21" s="263">
        <v>0.95</v>
      </c>
      <c r="O21" s="263">
        <v>32</v>
      </c>
      <c r="P21" s="502">
        <v>10</v>
      </c>
      <c r="Q21" s="502">
        <v>181</v>
      </c>
      <c r="R21" s="191">
        <f>P21*Q21</f>
        <v>1810</v>
      </c>
      <c r="S21" s="191">
        <f>F21*E21*(H21*L21*$C$14+N21*R21*$C$15)</f>
        <v>1675.8600000000001</v>
      </c>
      <c r="T21" s="265">
        <f>F21*E21*(I21*L21*$C$14+O21*R21*$C$15)*860/11000</f>
        <v>4582.6429090909096</v>
      </c>
      <c r="U21" s="192">
        <f>S21*係数!$H$30+IF($D$10="都市ガス",T21*$Z$4,T21/0.458*$Z$6)</f>
        <v>11.049318708000001</v>
      </c>
      <c r="V21" s="261" t="s">
        <v>486</v>
      </c>
      <c r="W21" s="187">
        <v>1</v>
      </c>
      <c r="X21" s="262">
        <v>28</v>
      </c>
      <c r="Y21" s="266">
        <v>0.65</v>
      </c>
      <c r="Z21" s="263">
        <v>30.2</v>
      </c>
      <c r="AA21" s="191">
        <f>IF(L21="","",L21)</f>
        <v>1220</v>
      </c>
      <c r="AB21" s="264">
        <v>31.5</v>
      </c>
      <c r="AC21" s="266">
        <v>0.41</v>
      </c>
      <c r="AD21" s="263">
        <v>26.5</v>
      </c>
      <c r="AE21" s="191">
        <f>IF(R21="","",R21)</f>
        <v>1810</v>
      </c>
      <c r="AF21" s="191">
        <f>W21*(Y21*AA21*$C$14+AC21*AE21*$C$15)</f>
        <v>614.04</v>
      </c>
      <c r="AG21" s="616">
        <f>IF($H$10="",0,W21*(Z21*AA21*$C$14+AD21*AE21*$C$15)*860/$H$10)</f>
        <v>2652.2087272727272</v>
      </c>
      <c r="AH21" s="192">
        <f>AF21*係数!$H$30+IF($D$10="都市ガス",AG21*$Z$4,AG21/0.458*$Z$6)</f>
        <v>6.232172664000001</v>
      </c>
      <c r="AI21" s="268">
        <f>S21-AF21</f>
        <v>1061.8200000000002</v>
      </c>
      <c r="AJ21" s="269">
        <f>T21-AG21</f>
        <v>1930.4341818181824</v>
      </c>
      <c r="AK21" s="550">
        <f>(AI21*係数!$C$30+AJ21*VLOOKUP($D$10,係数!$B$3:$C$30,2,FALSE))*0.0000258</f>
        <v>2.5143617964109097</v>
      </c>
      <c r="AL21" s="539">
        <f>U21-AH21</f>
        <v>4.8171460440000002</v>
      </c>
      <c r="AM21" s="593"/>
      <c r="AN21" s="569">
        <f>IF(G21&lt;&gt;0,G21/(I21+(H21/0.369)),0)</f>
        <v>0.80034703394425766</v>
      </c>
      <c r="AO21" s="569">
        <f>IF(M21&lt;&gt;0,M21/(O21+(N21/0.369)),0)</f>
        <v>0.96892146104405075</v>
      </c>
      <c r="AP21" s="569">
        <f>F21*E21*(H21*L21*$C$14)</f>
        <v>644.16</v>
      </c>
      <c r="AQ21" s="569">
        <f>F21*E21*(I21*L21*$C$14)*860/11000</f>
        <v>1865.6683636363637</v>
      </c>
      <c r="AR21" s="569">
        <f>F21*E21*(N21*R21*$C$15)</f>
        <v>1031.7</v>
      </c>
      <c r="AS21" s="569">
        <f>F21*E21*(O21*R21*$C$15)*860/11000</f>
        <v>2716.9745454545455</v>
      </c>
      <c r="AT21" s="584">
        <f>IF(U21&lt;&gt;0,(AP21*係数!$H$30+IF($D$10="都市ガス",AQ21*$Z$4,AQ21/0.458*$Z$6)*AN21+AR21*係数!$H$30+IF($D$10="都市ガス",AS21*$Z$4,AS21/0.458*$Z$6)*AO21)/U21,0)</f>
        <v>0.90720318862566296</v>
      </c>
      <c r="AU21" s="514">
        <f>IF(X21&lt;&gt;0,X21/(Z21+(Y21/0.369)),0)</f>
        <v>0.8760535196459156</v>
      </c>
      <c r="AV21" s="514">
        <f>IF(AB21&lt;&gt;0,AB21/(AD21+(AC21/0.369)),0)</f>
        <v>1.1408450704225352</v>
      </c>
      <c r="AW21" s="514">
        <f>W21*(Y21*AA21*$C$14)</f>
        <v>317.20000000000005</v>
      </c>
      <c r="AX21" s="514">
        <f>W21*(Z21*AA21*$C$14)*860/11000</f>
        <v>1152.2123636363635</v>
      </c>
      <c r="AY21" s="514">
        <f>W21*(AC21*AE21*$C$15)</f>
        <v>296.83999999999997</v>
      </c>
      <c r="AZ21" s="514">
        <f>W21*(AD21*AE21*$C$15)*860/11000</f>
        <v>1499.9963636363636</v>
      </c>
      <c r="BA21" s="584">
        <f>IF(AH21&lt;&gt;0,(AW21*係数!$H$30+IF($D$10="都市ガス",AX21*$Z$4,AX21/0.458*$Z$6)*AU21+AY21*係数!$H$30+IF($D$10="都市ガス",AZ21*$Z$4,AZ21/0.458*$Z$6)*AV21)/AH21,0)</f>
        <v>1.0246481830769389</v>
      </c>
    </row>
    <row r="22" spans="2:53" x14ac:dyDescent="0.55000000000000004">
      <c r="B22" s="457" t="s">
        <v>18</v>
      </c>
      <c r="C22" s="148"/>
      <c r="D22" s="148"/>
      <c r="E22" s="30">
        <f>SUM(E23:E42)</f>
        <v>0</v>
      </c>
      <c r="F22" s="148"/>
      <c r="G22" s="123">
        <f>SUMPRODUCT($E23:$E$42*G$23:G$42)</f>
        <v>0</v>
      </c>
      <c r="H22" s="163">
        <f>SUMPRODUCT($E23:$E$42*H$23:H$42)</f>
        <v>0</v>
      </c>
      <c r="I22" s="163">
        <f>SUMPRODUCT($E23:$E$42*I$23:I$42)</f>
        <v>0</v>
      </c>
      <c r="J22" s="505"/>
      <c r="K22" s="505"/>
      <c r="L22" s="147"/>
      <c r="M22" s="119">
        <f>SUMPRODUCT($E23:$E$42*M$23:M$42)</f>
        <v>0</v>
      </c>
      <c r="N22" s="163">
        <f>SUMPRODUCT($E23:$E$42*N$23:N$42)</f>
        <v>0</v>
      </c>
      <c r="O22" s="163">
        <f>SUMPRODUCT($E23:$E$42*O$23:O$42)</f>
        <v>0</v>
      </c>
      <c r="P22" s="505"/>
      <c r="Q22" s="505"/>
      <c r="R22" s="147"/>
      <c r="S22" s="21">
        <f>SUM(S23:S42)</f>
        <v>0</v>
      </c>
      <c r="T22" s="39">
        <f>SUM(T23:T42)</f>
        <v>0</v>
      </c>
      <c r="U22" s="96">
        <f>SUM(U23:U42)</f>
        <v>0</v>
      </c>
      <c r="V22" s="148"/>
      <c r="W22" s="30">
        <f>SUM(W23:W42)</f>
        <v>0</v>
      </c>
      <c r="X22" s="123">
        <f>SUMPRODUCT($W23:$W$42*X$23:X$42)</f>
        <v>0</v>
      </c>
      <c r="Y22" s="161">
        <f>SUMPRODUCT($W23:$W$42*Y$23:Y$42)</f>
        <v>0</v>
      </c>
      <c r="Z22" s="163">
        <f>SUMPRODUCT($W23:$W$42*Z$23:Z$42)</f>
        <v>0</v>
      </c>
      <c r="AA22" s="149"/>
      <c r="AB22" s="119">
        <f>SUMPRODUCT($W23:$W$42*AB$23:AB$42)</f>
        <v>0</v>
      </c>
      <c r="AC22" s="161">
        <f>SUMPRODUCT($W23:$W$42*AC$23:AC$42)</f>
        <v>0</v>
      </c>
      <c r="AD22" s="163">
        <f>SUMPRODUCT($W23:$W$42*AD$23:AD$42)</f>
        <v>0</v>
      </c>
      <c r="AE22" s="147"/>
      <c r="AF22" s="21">
        <f>SUM(AF23:AF42)</f>
        <v>0</v>
      </c>
      <c r="AG22" s="617">
        <f>SUM(AG23:AG42)</f>
        <v>0</v>
      </c>
      <c r="AH22" s="96">
        <f t="shared" ref="AH22:AL22" si="0">SUM(AH23:AH42)</f>
        <v>0</v>
      </c>
      <c r="AI22" s="447">
        <f t="shared" si="0"/>
        <v>0</v>
      </c>
      <c r="AJ22" s="438">
        <f>SUM(AJ23:AJ42)</f>
        <v>0</v>
      </c>
      <c r="AK22" s="551">
        <f>SUM(AK23:AK42)</f>
        <v>0</v>
      </c>
      <c r="AL22" s="540">
        <f t="shared" si="0"/>
        <v>0</v>
      </c>
      <c r="AM22" s="610"/>
      <c r="AN22" s="569">
        <f t="shared" ref="AN22:AN42" si="1">IF(G22&lt;&gt;0,G22/(I22+(H22/0.369)),0)</f>
        <v>0</v>
      </c>
      <c r="AO22" s="569">
        <f t="shared" ref="AO22:AO42" si="2">IF(M22&lt;&gt;0,M22/(O22+(N22/0.369)),0)</f>
        <v>0</v>
      </c>
      <c r="AP22" s="569">
        <f t="shared" ref="AP22:AP42" si="3">F22*E22*(H22*L22*$C$14)</f>
        <v>0</v>
      </c>
      <c r="AQ22" s="569">
        <f>SUM(AQ23:AQ42)</f>
        <v>0</v>
      </c>
      <c r="AR22" s="569">
        <f>SUM(AR23:AR42)</f>
        <v>0</v>
      </c>
      <c r="AS22" s="569">
        <f>SUM(AS23:AS42)</f>
        <v>0</v>
      </c>
      <c r="AT22" s="584">
        <f>IF(U22&lt;&gt;0,(AP22*係数!$H$30+IF($D$10="都市ガス",AQ22*$Z$4,AQ22/0.458*$Z$6)*AN22+AR22*係数!$H$30+IF($D$10="都市ガス",AS22*$Z$4,AS22/0.458*$Z$6)*AO22)/U22,0)</f>
        <v>0</v>
      </c>
      <c r="AU22" s="568">
        <f t="shared" ref="AU22:AU42" si="4">IF(X22&lt;&gt;0,X22/(Z22+(Y22/0.369)),0)</f>
        <v>0</v>
      </c>
      <c r="AV22" s="568">
        <f t="shared" ref="AV22:AV42" si="5">IF(AB22&lt;&gt;0,AB22/(AD22+(AC22/0.369)),0)</f>
        <v>0</v>
      </c>
      <c r="AW22" s="568">
        <f>SUM(AW23:AW42)</f>
        <v>0</v>
      </c>
      <c r="AX22" s="568">
        <f>SUM(AX23:AX42)</f>
        <v>0</v>
      </c>
      <c r="AY22" s="568">
        <f>SUM(AY23:AY42)</f>
        <v>0</v>
      </c>
      <c r="AZ22" s="568">
        <f>SUM(AZ23:AZ42)</f>
        <v>0</v>
      </c>
      <c r="BA22" s="585">
        <f>IF(AH22&lt;&gt;0,(AW22*係数!$H$30+IF($D$10="都市ガス",AX22*$Z$4,AX22/0.458*$Z$6)*AU22+AY22*係数!$H$30+IF($D$10="都市ガス",AZ22*$Z$4,AZ22/0.458*$Z$6)*AV22)/AH22,0)</f>
        <v>0</v>
      </c>
    </row>
    <row r="23" spans="2:53" x14ac:dyDescent="0.55000000000000004">
      <c r="B23" s="227" t="s">
        <v>52</v>
      </c>
      <c r="C23" s="25"/>
      <c r="D23" s="25"/>
      <c r="E23" s="6"/>
      <c r="F23" s="427">
        <f t="shared" ref="F23:F42" si="6">IF(D23="",1,MIN(1.5,(2023-D23)*0.05+1))</f>
        <v>1</v>
      </c>
      <c r="G23" s="129"/>
      <c r="H23" s="164"/>
      <c r="I23" s="164"/>
      <c r="J23" s="503"/>
      <c r="K23" s="503"/>
      <c r="L23" s="87">
        <f t="shared" ref="L23:L42" si="7">J23*K23</f>
        <v>0</v>
      </c>
      <c r="M23" s="131"/>
      <c r="N23" s="164"/>
      <c r="O23" s="164"/>
      <c r="P23" s="503"/>
      <c r="Q23" s="503"/>
      <c r="R23" s="87">
        <f t="shared" ref="R23:R42" si="8">P23*Q23</f>
        <v>0</v>
      </c>
      <c r="S23" s="20">
        <f t="shared" ref="S23:S42" si="9">F23*E23*(H23*L23*$C$14+N23*R23*$C$15)</f>
        <v>0</v>
      </c>
      <c r="T23" s="41">
        <f>IF($H$10="",0,F23*E23*(I23*L23*$C$14+O23*R23*$C$15)*860/$H$10)</f>
        <v>0</v>
      </c>
      <c r="U23" s="93">
        <f>S23*係数!$H$30+IF($D$10="都市ガス",T23*$Z$4,T23/0.458*$Z$6)</f>
        <v>0</v>
      </c>
      <c r="V23" s="25"/>
      <c r="W23" s="6"/>
      <c r="X23" s="129"/>
      <c r="Y23" s="140"/>
      <c r="Z23" s="164"/>
      <c r="AA23" s="428">
        <f t="shared" ref="AA23:AA42" si="10">IF(L23="","",L23)</f>
        <v>0</v>
      </c>
      <c r="AB23" s="129"/>
      <c r="AC23" s="140"/>
      <c r="AD23" s="164"/>
      <c r="AE23" s="428">
        <f t="shared" ref="AE23:AE42" si="11">IF(R23="","",R23)</f>
        <v>0</v>
      </c>
      <c r="AF23" s="20">
        <f>IF(OR($AA23&lt;&gt;0,$AE23&lt;&gt;0),W23*(Y23*AA23*$C$14+AC23*AE23*$C$15),0)</f>
        <v>0</v>
      </c>
      <c r="AG23" s="618">
        <f>IF($H$10="",0,W23*(Z23*AA23*$C$14+AD23*AE23*$C$15)*860/$H$10)</f>
        <v>0</v>
      </c>
      <c r="AH23" s="93">
        <f>AF23*係数!$H$30+IF($D$10="都市ガス",AG23*$Z$4,AG23/0.458*$Z$6)</f>
        <v>0</v>
      </c>
      <c r="AI23" s="448">
        <f>S23-AF23</f>
        <v>0</v>
      </c>
      <c r="AJ23" s="439">
        <f>T23-AG23</f>
        <v>0</v>
      </c>
      <c r="AK23" s="547">
        <f>(AI23*係数!$C$30+AJ23*VLOOKUP($D$10,係数!$B$3:$C$30,2,FALSE))*0.0000258</f>
        <v>0</v>
      </c>
      <c r="AL23" s="547">
        <f>U23-AH23</f>
        <v>0</v>
      </c>
      <c r="AM23" s="611"/>
      <c r="AN23" s="569">
        <f t="shared" si="1"/>
        <v>0</v>
      </c>
      <c r="AO23" s="569">
        <f t="shared" si="2"/>
        <v>0</v>
      </c>
      <c r="AP23" s="569">
        <f t="shared" si="3"/>
        <v>0</v>
      </c>
      <c r="AQ23" s="569">
        <f t="shared" ref="AQ23:AQ42" si="12">F23*E23*(I23*L23*$C$14)*860/11000</f>
        <v>0</v>
      </c>
      <c r="AR23" s="569">
        <f t="shared" ref="AR23:AR42" si="13">F23*E23*(N23*R23*$C$15)</f>
        <v>0</v>
      </c>
      <c r="AS23" s="569">
        <f t="shared" ref="AS23:AS42" si="14">F23*E23*(O23*R23*$C$15)*860/11000</f>
        <v>0</v>
      </c>
      <c r="AT23" s="584">
        <f>IF(U23&lt;&gt;0,(AP23*係数!$H$30+IF($D$10="都市ガス",AQ23*$Z$4,AQ23/0.458*$Z$6)*AN23+AR23*係数!$H$30+IF($D$10="都市ガス",AS23*$Z$4,AS23/0.458*$Z$6)*AO23)/U23,0)</f>
        <v>0</v>
      </c>
      <c r="AU23" s="569">
        <f t="shared" si="4"/>
        <v>0</v>
      </c>
      <c r="AV23" s="569">
        <f t="shared" si="5"/>
        <v>0</v>
      </c>
      <c r="AW23" s="569">
        <f t="shared" ref="AW23:AW42" si="15">W23*(Y23*AA23*$C$14)</f>
        <v>0</v>
      </c>
      <c r="AX23" s="569">
        <f t="shared" ref="AX23:AX42" si="16">W23*(Z23*AA23*$C$14)*860/11000</f>
        <v>0</v>
      </c>
      <c r="AY23" s="569">
        <f t="shared" ref="AY23:AY42" si="17">W23*(AC23*AE23*$C$15)</f>
        <v>0</v>
      </c>
      <c r="AZ23" s="569">
        <f t="shared" ref="AZ23:AZ42" si="18">W23*(AD23*AE23*$C$15)*860/11000</f>
        <v>0</v>
      </c>
      <c r="BA23" s="586">
        <f>IF(AH23&lt;&gt;0,(AW23*係数!$H$30+IF($D$10="都市ガス",AX23*$Z$4,AX23/0.458*$Z$6)*AU23+AY23*係数!$H$30+IF($D$10="都市ガス",AZ23*$Z$4,AZ23/0.458*$Z$6)*AV23)/AH23,0)</f>
        <v>0</v>
      </c>
    </row>
    <row r="24" spans="2:53" x14ac:dyDescent="0.55000000000000004">
      <c r="B24" s="194" t="s">
        <v>53</v>
      </c>
      <c r="C24" s="25"/>
      <c r="D24" s="25"/>
      <c r="E24" s="6"/>
      <c r="F24" s="427">
        <f t="shared" si="6"/>
        <v>1</v>
      </c>
      <c r="G24" s="129"/>
      <c r="H24" s="164"/>
      <c r="I24" s="164"/>
      <c r="J24" s="503"/>
      <c r="K24" s="503"/>
      <c r="L24" s="87">
        <f t="shared" si="7"/>
        <v>0</v>
      </c>
      <c r="M24" s="131"/>
      <c r="N24" s="164"/>
      <c r="O24" s="164"/>
      <c r="P24" s="503"/>
      <c r="Q24" s="503"/>
      <c r="R24" s="87">
        <f t="shared" si="8"/>
        <v>0</v>
      </c>
      <c r="S24" s="20">
        <f t="shared" si="9"/>
        <v>0</v>
      </c>
      <c r="T24" s="41">
        <f t="shared" ref="T24:T42" si="19">IF($H$10="",0,F24*E24*(I24*L24*$C$14+O24*R24*$C$15)*860/$H$10)</f>
        <v>0</v>
      </c>
      <c r="U24" s="93">
        <f>S24*係数!$H$30+IF($D$10="都市ガス",T24*$Z$4,T24/0.458*$Z$6)</f>
        <v>0</v>
      </c>
      <c r="V24" s="25"/>
      <c r="W24" s="6"/>
      <c r="X24" s="129"/>
      <c r="Y24" s="140"/>
      <c r="Z24" s="164"/>
      <c r="AA24" s="428">
        <f t="shared" si="10"/>
        <v>0</v>
      </c>
      <c r="AB24" s="129"/>
      <c r="AC24" s="140"/>
      <c r="AD24" s="164"/>
      <c r="AE24" s="428">
        <f t="shared" si="11"/>
        <v>0</v>
      </c>
      <c r="AF24" s="20">
        <f t="shared" ref="AF24:AF42" si="20">IF(OR($AA24&lt;&gt;0,$AE24&lt;&gt;0),W24*(Y24*AA24*$C$14+AC24*AE24*$C$15),0)</f>
        <v>0</v>
      </c>
      <c r="AG24" s="618">
        <f t="shared" ref="AG24:AG42" si="21">IF($H$10="",0,W24*(Z24*AA24*$C$14+AD24*AE24*$C$15)*860/$H$10)</f>
        <v>0</v>
      </c>
      <c r="AH24" s="93">
        <f>AF24*係数!$H$30+IF($D$10="都市ガス",AG24*$Z$4,AG24/0.458*$Z$6)</f>
        <v>0</v>
      </c>
      <c r="AI24" s="448">
        <f t="shared" ref="AI24:AI42" si="22">S24-AF24</f>
        <v>0</v>
      </c>
      <c r="AJ24" s="439">
        <f t="shared" ref="AJ24:AJ42" si="23">T24-AG24</f>
        <v>0</v>
      </c>
      <c r="AK24" s="547">
        <f>(AI24*係数!$C$30+AJ24*VLOOKUP($D$10,係数!$B$3:$C$30,2,FALSE))*0.0000258</f>
        <v>0</v>
      </c>
      <c r="AL24" s="547">
        <f t="shared" ref="AL24:AL42" si="24">U24-AH24</f>
        <v>0</v>
      </c>
      <c r="AM24" s="611"/>
      <c r="AN24" s="569">
        <f t="shared" si="1"/>
        <v>0</v>
      </c>
      <c r="AO24" s="569">
        <f t="shared" si="2"/>
        <v>0</v>
      </c>
      <c r="AP24" s="569">
        <f t="shared" si="3"/>
        <v>0</v>
      </c>
      <c r="AQ24" s="569">
        <f t="shared" si="12"/>
        <v>0</v>
      </c>
      <c r="AR24" s="569">
        <f t="shared" si="13"/>
        <v>0</v>
      </c>
      <c r="AS24" s="569">
        <f t="shared" si="14"/>
        <v>0</v>
      </c>
      <c r="AT24" s="584">
        <f>IF(U24&lt;&gt;0,(AP24*係数!$H$30+IF($D$10="都市ガス",AQ24*$Z$4,AQ24/0.458*$Z$6)*AN24+AR24*係数!$H$30+IF($D$10="都市ガス",AS24*$Z$4,AS24/0.458*$Z$6)*AO24)/U24,0)</f>
        <v>0</v>
      </c>
      <c r="AU24" s="569">
        <f t="shared" si="4"/>
        <v>0</v>
      </c>
      <c r="AV24" s="569">
        <f t="shared" si="5"/>
        <v>0</v>
      </c>
      <c r="AW24" s="569">
        <f t="shared" si="15"/>
        <v>0</v>
      </c>
      <c r="AX24" s="569">
        <f t="shared" si="16"/>
        <v>0</v>
      </c>
      <c r="AY24" s="569">
        <f t="shared" si="17"/>
        <v>0</v>
      </c>
      <c r="AZ24" s="569">
        <f t="shared" si="18"/>
        <v>0</v>
      </c>
      <c r="BA24" s="586">
        <f>IF(AH24&lt;&gt;0,(AW24*係数!$H$30+IF($D$10="都市ガス",AX24*$Z$4,AX24/0.458*$Z$6)*AU24+AY24*係数!$H$30+IF($D$10="都市ガス",AZ24*$Z$4,AZ24/0.458*$Z$6)*AV24)/AH24,0)</f>
        <v>0</v>
      </c>
    </row>
    <row r="25" spans="2:53" x14ac:dyDescent="0.55000000000000004">
      <c r="B25" s="194" t="s">
        <v>54</v>
      </c>
      <c r="C25" s="25"/>
      <c r="D25" s="25"/>
      <c r="E25" s="6"/>
      <c r="F25" s="427">
        <f t="shared" si="6"/>
        <v>1</v>
      </c>
      <c r="G25" s="129"/>
      <c r="H25" s="164"/>
      <c r="I25" s="164"/>
      <c r="J25" s="503"/>
      <c r="K25" s="503"/>
      <c r="L25" s="87">
        <f t="shared" si="7"/>
        <v>0</v>
      </c>
      <c r="M25" s="131"/>
      <c r="N25" s="164"/>
      <c r="O25" s="164"/>
      <c r="P25" s="503"/>
      <c r="Q25" s="503"/>
      <c r="R25" s="87">
        <f t="shared" si="8"/>
        <v>0</v>
      </c>
      <c r="S25" s="20">
        <f t="shared" si="9"/>
        <v>0</v>
      </c>
      <c r="T25" s="41">
        <f>IF($H$10="",0,F25*E25*(I25*L25*$C$14+O25*R25*$C$15)*860/$H$10)</f>
        <v>0</v>
      </c>
      <c r="U25" s="93">
        <f>S25*係数!$H$30+IF($D$10="都市ガス",T25*$Z$4,T25/0.458*$Z$6)</f>
        <v>0</v>
      </c>
      <c r="V25" s="25"/>
      <c r="W25" s="6"/>
      <c r="X25" s="129"/>
      <c r="Y25" s="140"/>
      <c r="Z25" s="164"/>
      <c r="AA25" s="428">
        <f t="shared" si="10"/>
        <v>0</v>
      </c>
      <c r="AB25" s="129"/>
      <c r="AC25" s="140"/>
      <c r="AD25" s="164"/>
      <c r="AE25" s="428">
        <f t="shared" si="11"/>
        <v>0</v>
      </c>
      <c r="AF25" s="20">
        <f t="shared" si="20"/>
        <v>0</v>
      </c>
      <c r="AG25" s="618">
        <f t="shared" si="21"/>
        <v>0</v>
      </c>
      <c r="AH25" s="93">
        <f>AF25*係数!$H$30+IF($D$10="都市ガス",AG25*$Z$4,AG25/0.458*$Z$6)</f>
        <v>0</v>
      </c>
      <c r="AI25" s="448">
        <f t="shared" si="22"/>
        <v>0</v>
      </c>
      <c r="AJ25" s="439">
        <f t="shared" si="23"/>
        <v>0</v>
      </c>
      <c r="AK25" s="547">
        <f>(AI25*係数!$C$30+AJ25*VLOOKUP($D$10,係数!$B$3:$C$30,2,FALSE))*0.0000258</f>
        <v>0</v>
      </c>
      <c r="AL25" s="547">
        <f t="shared" si="24"/>
        <v>0</v>
      </c>
      <c r="AM25" s="611"/>
      <c r="AN25" s="569">
        <f t="shared" si="1"/>
        <v>0</v>
      </c>
      <c r="AO25" s="569">
        <f t="shared" si="2"/>
        <v>0</v>
      </c>
      <c r="AP25" s="569">
        <f t="shared" si="3"/>
        <v>0</v>
      </c>
      <c r="AQ25" s="569">
        <f t="shared" si="12"/>
        <v>0</v>
      </c>
      <c r="AR25" s="569">
        <f t="shared" si="13"/>
        <v>0</v>
      </c>
      <c r="AS25" s="569">
        <f t="shared" si="14"/>
        <v>0</v>
      </c>
      <c r="AT25" s="584">
        <f>IF(U25&lt;&gt;0,(AP25*係数!$H$30+IF($D$10="都市ガス",AQ25*$Z$4,AQ25/0.458*$Z$6)*AN25+AR25*係数!$H$30+IF($D$10="都市ガス",AS25*$Z$4,AS25/0.458*$Z$6)*AO25)/U25,0)</f>
        <v>0</v>
      </c>
      <c r="AU25" s="569">
        <f t="shared" si="4"/>
        <v>0</v>
      </c>
      <c r="AV25" s="569">
        <f t="shared" si="5"/>
        <v>0</v>
      </c>
      <c r="AW25" s="569">
        <f t="shared" si="15"/>
        <v>0</v>
      </c>
      <c r="AX25" s="569">
        <f t="shared" si="16"/>
        <v>0</v>
      </c>
      <c r="AY25" s="569">
        <f t="shared" si="17"/>
        <v>0</v>
      </c>
      <c r="AZ25" s="569">
        <f t="shared" si="18"/>
        <v>0</v>
      </c>
      <c r="BA25" s="586">
        <f>IF(AH25&lt;&gt;0,(AW25*係数!$H$30+IF($D$10="都市ガス",AX25*$Z$4,AX25/0.458*$Z$6)*AU25+AY25*係数!$H$30+IF($D$10="都市ガス",AZ25*$Z$4,AZ25/0.458*$Z$6)*AV25)/AH25,0)</f>
        <v>0</v>
      </c>
    </row>
    <row r="26" spans="2:53" x14ac:dyDescent="0.55000000000000004">
      <c r="B26" s="194" t="s">
        <v>55</v>
      </c>
      <c r="C26" s="25"/>
      <c r="D26" s="25"/>
      <c r="E26" s="6"/>
      <c r="F26" s="427">
        <f t="shared" si="6"/>
        <v>1</v>
      </c>
      <c r="G26" s="129"/>
      <c r="H26" s="164"/>
      <c r="I26" s="164"/>
      <c r="J26" s="503"/>
      <c r="K26" s="503"/>
      <c r="L26" s="504">
        <f t="shared" si="7"/>
        <v>0</v>
      </c>
      <c r="M26" s="129"/>
      <c r="N26" s="164"/>
      <c r="O26" s="164"/>
      <c r="P26" s="503"/>
      <c r="Q26" s="503"/>
      <c r="R26" s="504">
        <f t="shared" si="8"/>
        <v>0</v>
      </c>
      <c r="S26" s="20">
        <f t="shared" si="9"/>
        <v>0</v>
      </c>
      <c r="T26" s="41">
        <f>IF($H$10="",0,F26*E26*(I26*L26*$C$14+O26*R26*$C$15)*860/$H$10)</f>
        <v>0</v>
      </c>
      <c r="U26" s="93">
        <f>S26*係数!$H$30+IF($D$10="都市ガス",T26*$Z$4,T26/0.458*$Z$6)</f>
        <v>0</v>
      </c>
      <c r="V26" s="25"/>
      <c r="W26" s="6"/>
      <c r="X26" s="129"/>
      <c r="Y26" s="140"/>
      <c r="Z26" s="164"/>
      <c r="AA26" s="428">
        <f t="shared" si="10"/>
        <v>0</v>
      </c>
      <c r="AB26" s="129"/>
      <c r="AC26" s="140"/>
      <c r="AD26" s="164"/>
      <c r="AE26" s="36">
        <f t="shared" si="11"/>
        <v>0</v>
      </c>
      <c r="AF26" s="24">
        <f t="shared" si="20"/>
        <v>0</v>
      </c>
      <c r="AG26" s="618">
        <f t="shared" si="21"/>
        <v>0</v>
      </c>
      <c r="AH26" s="93">
        <f>AF26*係数!$H$30+IF($D$10="都市ガス",AG26*$Z$4,AG26/0.458*$Z$6)</f>
        <v>0</v>
      </c>
      <c r="AI26" s="448">
        <f t="shared" si="22"/>
        <v>0</v>
      </c>
      <c r="AJ26" s="439">
        <f t="shared" si="23"/>
        <v>0</v>
      </c>
      <c r="AK26" s="547">
        <f>(AI26*係数!$C$30+AJ26*VLOOKUP($D$10,係数!$B$3:$C$30,2,FALSE))*0.0000258</f>
        <v>0</v>
      </c>
      <c r="AL26" s="547">
        <f t="shared" si="24"/>
        <v>0</v>
      </c>
      <c r="AM26" s="611"/>
      <c r="AN26" s="569">
        <f t="shared" si="1"/>
        <v>0</v>
      </c>
      <c r="AO26" s="569">
        <f t="shared" si="2"/>
        <v>0</v>
      </c>
      <c r="AP26" s="569">
        <f t="shared" si="3"/>
        <v>0</v>
      </c>
      <c r="AQ26" s="569">
        <f t="shared" si="12"/>
        <v>0</v>
      </c>
      <c r="AR26" s="569">
        <f t="shared" si="13"/>
        <v>0</v>
      </c>
      <c r="AS26" s="569">
        <f t="shared" si="14"/>
        <v>0</v>
      </c>
      <c r="AT26" s="584">
        <f>IF(U26&lt;&gt;0,(AP26*係数!$H$30+IF($D$10="都市ガス",AQ26*$Z$4,AQ26/0.458*$Z$6)*AN26+AR26*係数!$H$30+IF($D$10="都市ガス",AS26*$Z$4,AS26/0.458*$Z$6)*AO26)/U26,0)</f>
        <v>0</v>
      </c>
      <c r="AU26" s="569">
        <f t="shared" si="4"/>
        <v>0</v>
      </c>
      <c r="AV26" s="569">
        <f t="shared" si="5"/>
        <v>0</v>
      </c>
      <c r="AW26" s="569">
        <f t="shared" si="15"/>
        <v>0</v>
      </c>
      <c r="AX26" s="569">
        <f t="shared" si="16"/>
        <v>0</v>
      </c>
      <c r="AY26" s="569">
        <f t="shared" si="17"/>
        <v>0</v>
      </c>
      <c r="AZ26" s="569">
        <f t="shared" si="18"/>
        <v>0</v>
      </c>
      <c r="BA26" s="586">
        <f>IF(AH26&lt;&gt;0,(AW26*係数!$H$30+IF($D$10="都市ガス",AX26*$Z$4,AX26/0.458*$Z$6)*AU26+AY26*係数!$H$30+IF($D$10="都市ガス",AZ26*$Z$4,AZ26/0.458*$Z$6)*AV26)/AH26,0)</f>
        <v>0</v>
      </c>
    </row>
    <row r="27" spans="2:53" x14ac:dyDescent="0.55000000000000004">
      <c r="B27" s="194" t="s">
        <v>56</v>
      </c>
      <c r="C27" s="25"/>
      <c r="D27" s="25"/>
      <c r="E27" s="6"/>
      <c r="F27" s="427">
        <f t="shared" si="6"/>
        <v>1</v>
      </c>
      <c r="G27" s="129"/>
      <c r="H27" s="164"/>
      <c r="I27" s="164"/>
      <c r="J27" s="503"/>
      <c r="K27" s="503"/>
      <c r="L27" s="504">
        <f t="shared" si="7"/>
        <v>0</v>
      </c>
      <c r="M27" s="129"/>
      <c r="N27" s="164"/>
      <c r="O27" s="164"/>
      <c r="P27" s="503"/>
      <c r="Q27" s="503"/>
      <c r="R27" s="504">
        <f t="shared" si="8"/>
        <v>0</v>
      </c>
      <c r="S27" s="20">
        <f t="shared" si="9"/>
        <v>0</v>
      </c>
      <c r="T27" s="41">
        <f t="shared" si="19"/>
        <v>0</v>
      </c>
      <c r="U27" s="93">
        <f>S27*係数!$H$30+IF($D$10="都市ガス",T27*$Z$4,T27/0.458*$Z$6)</f>
        <v>0</v>
      </c>
      <c r="V27" s="25"/>
      <c r="W27" s="6"/>
      <c r="X27" s="129"/>
      <c r="Y27" s="140"/>
      <c r="Z27" s="164"/>
      <c r="AA27" s="428">
        <f t="shared" si="10"/>
        <v>0</v>
      </c>
      <c r="AB27" s="129"/>
      <c r="AC27" s="140"/>
      <c r="AD27" s="164"/>
      <c r="AE27" s="36">
        <f t="shared" si="11"/>
        <v>0</v>
      </c>
      <c r="AF27" s="24">
        <f t="shared" si="20"/>
        <v>0</v>
      </c>
      <c r="AG27" s="618">
        <f t="shared" si="21"/>
        <v>0</v>
      </c>
      <c r="AH27" s="93">
        <f>AF27*係数!$H$30+IF($D$10="都市ガス",AG27*$Z$4,AG27/0.458*$Z$6)</f>
        <v>0</v>
      </c>
      <c r="AI27" s="448">
        <f t="shared" si="22"/>
        <v>0</v>
      </c>
      <c r="AJ27" s="439">
        <f t="shared" si="23"/>
        <v>0</v>
      </c>
      <c r="AK27" s="547">
        <f>(AI27*係数!$C$30+AJ27*VLOOKUP($D$10,係数!$B$3:$C$30,2,FALSE))*0.0000258</f>
        <v>0</v>
      </c>
      <c r="AL27" s="547">
        <f t="shared" si="24"/>
        <v>0</v>
      </c>
      <c r="AM27" s="611"/>
      <c r="AN27" s="569">
        <f t="shared" si="1"/>
        <v>0</v>
      </c>
      <c r="AO27" s="569">
        <f t="shared" si="2"/>
        <v>0</v>
      </c>
      <c r="AP27" s="569">
        <f t="shared" si="3"/>
        <v>0</v>
      </c>
      <c r="AQ27" s="569">
        <f t="shared" si="12"/>
        <v>0</v>
      </c>
      <c r="AR27" s="569">
        <f t="shared" si="13"/>
        <v>0</v>
      </c>
      <c r="AS27" s="569">
        <f t="shared" si="14"/>
        <v>0</v>
      </c>
      <c r="AT27" s="584">
        <f>IF(U27&lt;&gt;0,(AP27*係数!$H$30+IF($D$10="都市ガス",AQ27*$Z$4,AQ27/0.458*$Z$6)*AN27+AR27*係数!$H$30+IF($D$10="都市ガス",AS27*$Z$4,AS27/0.458*$Z$6)*AO27)/U27,0)</f>
        <v>0</v>
      </c>
      <c r="AU27" s="569">
        <f t="shared" si="4"/>
        <v>0</v>
      </c>
      <c r="AV27" s="569">
        <f t="shared" si="5"/>
        <v>0</v>
      </c>
      <c r="AW27" s="569">
        <f t="shared" si="15"/>
        <v>0</v>
      </c>
      <c r="AX27" s="569">
        <f t="shared" si="16"/>
        <v>0</v>
      </c>
      <c r="AY27" s="569">
        <f t="shared" si="17"/>
        <v>0</v>
      </c>
      <c r="AZ27" s="569">
        <f t="shared" si="18"/>
        <v>0</v>
      </c>
      <c r="BA27" s="586">
        <f>IF(AH27&lt;&gt;0,(AW27*係数!$H$30+IF($D$10="都市ガス",AX27*$Z$4,AX27/0.458*$Z$6)*AU27+AY27*係数!$H$30+IF($D$10="都市ガス",AZ27*$Z$4,AZ27/0.458*$Z$6)*AV27)/AH27,0)</f>
        <v>0</v>
      </c>
    </row>
    <row r="28" spans="2:53" x14ac:dyDescent="0.55000000000000004">
      <c r="B28" s="194" t="s">
        <v>57</v>
      </c>
      <c r="C28" s="25"/>
      <c r="D28" s="25"/>
      <c r="E28" s="6"/>
      <c r="F28" s="427">
        <f t="shared" si="6"/>
        <v>1</v>
      </c>
      <c r="G28" s="129"/>
      <c r="H28" s="164"/>
      <c r="I28" s="164"/>
      <c r="J28" s="503"/>
      <c r="K28" s="503"/>
      <c r="L28" s="504">
        <f t="shared" si="7"/>
        <v>0</v>
      </c>
      <c r="M28" s="129"/>
      <c r="N28" s="164"/>
      <c r="O28" s="164"/>
      <c r="P28" s="503"/>
      <c r="Q28" s="503"/>
      <c r="R28" s="504">
        <f t="shared" si="8"/>
        <v>0</v>
      </c>
      <c r="S28" s="20">
        <f t="shared" si="9"/>
        <v>0</v>
      </c>
      <c r="T28" s="41">
        <f t="shared" si="19"/>
        <v>0</v>
      </c>
      <c r="U28" s="93">
        <f>S28*係数!$H$30+IF($D$10="都市ガス",T28*$Z$4,T28/0.458*$Z$6)</f>
        <v>0</v>
      </c>
      <c r="V28" s="25"/>
      <c r="W28" s="6"/>
      <c r="X28" s="129"/>
      <c r="Y28" s="140"/>
      <c r="Z28" s="164"/>
      <c r="AA28" s="428">
        <f t="shared" si="10"/>
        <v>0</v>
      </c>
      <c r="AB28" s="129"/>
      <c r="AC28" s="140"/>
      <c r="AD28" s="164"/>
      <c r="AE28" s="36">
        <f t="shared" si="11"/>
        <v>0</v>
      </c>
      <c r="AF28" s="24">
        <f t="shared" si="20"/>
        <v>0</v>
      </c>
      <c r="AG28" s="618">
        <f t="shared" si="21"/>
        <v>0</v>
      </c>
      <c r="AH28" s="93">
        <f>AF28*係数!$H$30+IF($D$10="都市ガス",AG28*$Z$4,AG28/0.458*$Z$6)</f>
        <v>0</v>
      </c>
      <c r="AI28" s="448">
        <f t="shared" si="22"/>
        <v>0</v>
      </c>
      <c r="AJ28" s="439">
        <f t="shared" si="23"/>
        <v>0</v>
      </c>
      <c r="AK28" s="547">
        <f>(AI28*係数!$C$30+AJ28*VLOOKUP($D$10,係数!$B$3:$C$30,2,FALSE))*0.0000258</f>
        <v>0</v>
      </c>
      <c r="AL28" s="547">
        <f t="shared" si="24"/>
        <v>0</v>
      </c>
      <c r="AM28" s="611"/>
      <c r="AN28" s="569">
        <f t="shared" si="1"/>
        <v>0</v>
      </c>
      <c r="AO28" s="569">
        <f t="shared" si="2"/>
        <v>0</v>
      </c>
      <c r="AP28" s="569">
        <f t="shared" si="3"/>
        <v>0</v>
      </c>
      <c r="AQ28" s="569">
        <f t="shared" si="12"/>
        <v>0</v>
      </c>
      <c r="AR28" s="569">
        <f t="shared" si="13"/>
        <v>0</v>
      </c>
      <c r="AS28" s="569">
        <f t="shared" si="14"/>
        <v>0</v>
      </c>
      <c r="AT28" s="584">
        <f>IF(U28&lt;&gt;0,(AP28*係数!$H$30+IF($D$10="都市ガス",AQ28*$Z$4,AQ28/0.458*$Z$6)*AN28+AR28*係数!$H$30+IF($D$10="都市ガス",AS28*$Z$4,AS28/0.458*$Z$6)*AO28)/U28,0)</f>
        <v>0</v>
      </c>
      <c r="AU28" s="569">
        <f t="shared" si="4"/>
        <v>0</v>
      </c>
      <c r="AV28" s="569">
        <f t="shared" si="5"/>
        <v>0</v>
      </c>
      <c r="AW28" s="569">
        <f t="shared" si="15"/>
        <v>0</v>
      </c>
      <c r="AX28" s="569">
        <f t="shared" si="16"/>
        <v>0</v>
      </c>
      <c r="AY28" s="569">
        <f t="shared" si="17"/>
        <v>0</v>
      </c>
      <c r="AZ28" s="569">
        <f t="shared" si="18"/>
        <v>0</v>
      </c>
      <c r="BA28" s="586">
        <f>IF(AH28&lt;&gt;0,(AW28*係数!$H$30+IF($D$10="都市ガス",AX28*$Z$4,AX28/0.458*$Z$6)*AU28+AY28*係数!$H$30+IF($D$10="都市ガス",AZ28*$Z$4,AZ28/0.458*$Z$6)*AV28)/AH28,0)</f>
        <v>0</v>
      </c>
    </row>
    <row r="29" spans="2:53" x14ac:dyDescent="0.55000000000000004">
      <c r="B29" s="194" t="s">
        <v>58</v>
      </c>
      <c r="C29" s="25"/>
      <c r="D29" s="25"/>
      <c r="E29" s="6"/>
      <c r="F29" s="427">
        <f t="shared" si="6"/>
        <v>1</v>
      </c>
      <c r="G29" s="129"/>
      <c r="H29" s="164"/>
      <c r="I29" s="164"/>
      <c r="J29" s="503"/>
      <c r="K29" s="503"/>
      <c r="L29" s="504">
        <f t="shared" si="7"/>
        <v>0</v>
      </c>
      <c r="M29" s="129"/>
      <c r="N29" s="164"/>
      <c r="O29" s="164"/>
      <c r="P29" s="503"/>
      <c r="Q29" s="503"/>
      <c r="R29" s="504">
        <f t="shared" si="8"/>
        <v>0</v>
      </c>
      <c r="S29" s="20">
        <f t="shared" si="9"/>
        <v>0</v>
      </c>
      <c r="T29" s="41">
        <f t="shared" si="19"/>
        <v>0</v>
      </c>
      <c r="U29" s="93">
        <f>S29*係数!$H$30+IF($D$10="都市ガス",T29*$Z$4,T29/0.458*$Z$6)</f>
        <v>0</v>
      </c>
      <c r="V29" s="25"/>
      <c r="W29" s="6"/>
      <c r="X29" s="129"/>
      <c r="Y29" s="140"/>
      <c r="Z29" s="164"/>
      <c r="AA29" s="428">
        <f t="shared" si="10"/>
        <v>0</v>
      </c>
      <c r="AB29" s="129"/>
      <c r="AC29" s="140"/>
      <c r="AD29" s="164"/>
      <c r="AE29" s="36">
        <f t="shared" si="11"/>
        <v>0</v>
      </c>
      <c r="AF29" s="24">
        <f t="shared" si="20"/>
        <v>0</v>
      </c>
      <c r="AG29" s="618">
        <f t="shared" si="21"/>
        <v>0</v>
      </c>
      <c r="AH29" s="93">
        <f>AF29*係数!$H$30+IF($D$10="都市ガス",AG29*$Z$4,AG29/0.458*$Z$6)</f>
        <v>0</v>
      </c>
      <c r="AI29" s="448">
        <f t="shared" si="22"/>
        <v>0</v>
      </c>
      <c r="AJ29" s="439">
        <f t="shared" si="23"/>
        <v>0</v>
      </c>
      <c r="AK29" s="547">
        <f>(AI29*係数!$C$30+AJ29*VLOOKUP($D$10,係数!$B$3:$C$30,2,FALSE))*0.0000258</f>
        <v>0</v>
      </c>
      <c r="AL29" s="547">
        <f t="shared" si="24"/>
        <v>0</v>
      </c>
      <c r="AM29" s="611"/>
      <c r="AN29" s="569">
        <f t="shared" si="1"/>
        <v>0</v>
      </c>
      <c r="AO29" s="569">
        <f t="shared" si="2"/>
        <v>0</v>
      </c>
      <c r="AP29" s="569">
        <f t="shared" si="3"/>
        <v>0</v>
      </c>
      <c r="AQ29" s="569">
        <f t="shared" si="12"/>
        <v>0</v>
      </c>
      <c r="AR29" s="569">
        <f t="shared" si="13"/>
        <v>0</v>
      </c>
      <c r="AS29" s="569">
        <f t="shared" si="14"/>
        <v>0</v>
      </c>
      <c r="AT29" s="584">
        <f>IF(U29&lt;&gt;0,(AP29*係数!$H$30+IF($D$10="都市ガス",AQ29*$Z$4,AQ29/0.458*$Z$6)*AN29+AR29*係数!$H$30+IF($D$10="都市ガス",AS29*$Z$4,AS29/0.458*$Z$6)*AO29)/U29,0)</f>
        <v>0</v>
      </c>
      <c r="AU29" s="569">
        <f t="shared" si="4"/>
        <v>0</v>
      </c>
      <c r="AV29" s="569">
        <f t="shared" si="5"/>
        <v>0</v>
      </c>
      <c r="AW29" s="569">
        <f t="shared" si="15"/>
        <v>0</v>
      </c>
      <c r="AX29" s="569">
        <f t="shared" si="16"/>
        <v>0</v>
      </c>
      <c r="AY29" s="569">
        <f t="shared" si="17"/>
        <v>0</v>
      </c>
      <c r="AZ29" s="569">
        <f t="shared" si="18"/>
        <v>0</v>
      </c>
      <c r="BA29" s="586">
        <f>IF(AH29&lt;&gt;0,(AW29*係数!$H$30+IF($D$10="都市ガス",AX29*$Z$4,AX29/0.458*$Z$6)*AU29+AY29*係数!$H$30+IF($D$10="都市ガス",AZ29*$Z$4,AZ29/0.458*$Z$6)*AV29)/AH29,0)</f>
        <v>0</v>
      </c>
    </row>
    <row r="30" spans="2:53" x14ac:dyDescent="0.55000000000000004">
      <c r="B30" s="194" t="s">
        <v>59</v>
      </c>
      <c r="C30" s="25"/>
      <c r="D30" s="25"/>
      <c r="E30" s="6"/>
      <c r="F30" s="427">
        <f t="shared" si="6"/>
        <v>1</v>
      </c>
      <c r="G30" s="129"/>
      <c r="H30" s="164"/>
      <c r="I30" s="164"/>
      <c r="J30" s="503"/>
      <c r="K30" s="503"/>
      <c r="L30" s="504">
        <f t="shared" si="7"/>
        <v>0</v>
      </c>
      <c r="M30" s="129"/>
      <c r="N30" s="164"/>
      <c r="O30" s="164"/>
      <c r="P30" s="503"/>
      <c r="Q30" s="503"/>
      <c r="R30" s="504">
        <f t="shared" si="8"/>
        <v>0</v>
      </c>
      <c r="S30" s="20">
        <f t="shared" si="9"/>
        <v>0</v>
      </c>
      <c r="T30" s="41">
        <f t="shared" si="19"/>
        <v>0</v>
      </c>
      <c r="U30" s="93">
        <f>S30*係数!$H$30+IF($D$10="都市ガス",T30*$Z$4,T30/0.458*$Z$6)</f>
        <v>0</v>
      </c>
      <c r="V30" s="25"/>
      <c r="W30" s="6"/>
      <c r="X30" s="129"/>
      <c r="Y30" s="140"/>
      <c r="Z30" s="164"/>
      <c r="AA30" s="428">
        <f t="shared" si="10"/>
        <v>0</v>
      </c>
      <c r="AB30" s="129"/>
      <c r="AC30" s="140"/>
      <c r="AD30" s="164"/>
      <c r="AE30" s="36">
        <f t="shared" si="11"/>
        <v>0</v>
      </c>
      <c r="AF30" s="24">
        <f t="shared" si="20"/>
        <v>0</v>
      </c>
      <c r="AG30" s="618">
        <f t="shared" si="21"/>
        <v>0</v>
      </c>
      <c r="AH30" s="93">
        <f>AF30*係数!$H$30+IF($D$10="都市ガス",AG30*$Z$4,AG30/0.458*$Z$6)</f>
        <v>0</v>
      </c>
      <c r="AI30" s="448">
        <f t="shared" si="22"/>
        <v>0</v>
      </c>
      <c r="AJ30" s="439">
        <f t="shared" si="23"/>
        <v>0</v>
      </c>
      <c r="AK30" s="547">
        <f>(AI30*係数!$C$30+AJ30*VLOOKUP($D$10,係数!$B$3:$C$30,2,FALSE))*0.0000258</f>
        <v>0</v>
      </c>
      <c r="AL30" s="547">
        <f t="shared" si="24"/>
        <v>0</v>
      </c>
      <c r="AM30" s="611"/>
      <c r="AN30" s="569">
        <f t="shared" si="1"/>
        <v>0</v>
      </c>
      <c r="AO30" s="569">
        <f t="shared" si="2"/>
        <v>0</v>
      </c>
      <c r="AP30" s="569">
        <f t="shared" si="3"/>
        <v>0</v>
      </c>
      <c r="AQ30" s="569">
        <f t="shared" si="12"/>
        <v>0</v>
      </c>
      <c r="AR30" s="569">
        <f t="shared" si="13"/>
        <v>0</v>
      </c>
      <c r="AS30" s="569">
        <f t="shared" si="14"/>
        <v>0</v>
      </c>
      <c r="AT30" s="584">
        <f>IF(U30&lt;&gt;0,(AP30*係数!$H$30+IF($D$10="都市ガス",AQ30*$Z$4,AQ30/0.458*$Z$6)*AN30+AR30*係数!$H$30+IF($D$10="都市ガス",AS30*$Z$4,AS30/0.458*$Z$6)*AO30)/U30,0)</f>
        <v>0</v>
      </c>
      <c r="AU30" s="569">
        <f t="shared" si="4"/>
        <v>0</v>
      </c>
      <c r="AV30" s="569">
        <f t="shared" si="5"/>
        <v>0</v>
      </c>
      <c r="AW30" s="569">
        <f t="shared" si="15"/>
        <v>0</v>
      </c>
      <c r="AX30" s="569">
        <f t="shared" si="16"/>
        <v>0</v>
      </c>
      <c r="AY30" s="569">
        <f t="shared" si="17"/>
        <v>0</v>
      </c>
      <c r="AZ30" s="569">
        <f t="shared" si="18"/>
        <v>0</v>
      </c>
      <c r="BA30" s="586">
        <f>IF(AH30&lt;&gt;0,(AW30*係数!$H$30+IF($D$10="都市ガス",AX30*$Z$4,AX30/0.458*$Z$6)*AU30+AY30*係数!$H$30+IF($D$10="都市ガス",AZ30*$Z$4,AZ30/0.458*$Z$6)*AV30)/AH30,0)</f>
        <v>0</v>
      </c>
    </row>
    <row r="31" spans="2:53" x14ac:dyDescent="0.55000000000000004">
      <c r="B31" s="194" t="s">
        <v>60</v>
      </c>
      <c r="C31" s="25"/>
      <c r="D31" s="25"/>
      <c r="E31" s="6"/>
      <c r="F31" s="427">
        <f t="shared" si="6"/>
        <v>1</v>
      </c>
      <c r="G31" s="129"/>
      <c r="H31" s="164"/>
      <c r="I31" s="164"/>
      <c r="J31" s="503"/>
      <c r="K31" s="503"/>
      <c r="L31" s="504">
        <f t="shared" si="7"/>
        <v>0</v>
      </c>
      <c r="M31" s="129"/>
      <c r="N31" s="164"/>
      <c r="O31" s="164"/>
      <c r="P31" s="503"/>
      <c r="Q31" s="503"/>
      <c r="R31" s="504">
        <f t="shared" si="8"/>
        <v>0</v>
      </c>
      <c r="S31" s="20">
        <f t="shared" si="9"/>
        <v>0</v>
      </c>
      <c r="T31" s="41">
        <f t="shared" si="19"/>
        <v>0</v>
      </c>
      <c r="U31" s="93">
        <f>S31*係数!$H$30+IF($D$10="都市ガス",T31*$Z$4,T31/0.458*$Z$6)</f>
        <v>0</v>
      </c>
      <c r="V31" s="25"/>
      <c r="W31" s="6"/>
      <c r="X31" s="129"/>
      <c r="Y31" s="140"/>
      <c r="Z31" s="164"/>
      <c r="AA31" s="428">
        <f t="shared" si="10"/>
        <v>0</v>
      </c>
      <c r="AB31" s="129"/>
      <c r="AC31" s="140"/>
      <c r="AD31" s="164"/>
      <c r="AE31" s="36">
        <f t="shared" si="11"/>
        <v>0</v>
      </c>
      <c r="AF31" s="24">
        <f t="shared" si="20"/>
        <v>0</v>
      </c>
      <c r="AG31" s="618">
        <f t="shared" si="21"/>
        <v>0</v>
      </c>
      <c r="AH31" s="93">
        <f>AF31*係数!$H$30+IF($D$10="都市ガス",AG31*$Z$4,AG31/0.458*$Z$6)</f>
        <v>0</v>
      </c>
      <c r="AI31" s="448">
        <f t="shared" si="22"/>
        <v>0</v>
      </c>
      <c r="AJ31" s="439">
        <f t="shared" si="23"/>
        <v>0</v>
      </c>
      <c r="AK31" s="547">
        <f>(AI31*係数!$C$30+AJ31*VLOOKUP($D$10,係数!$B$3:$C$30,2,FALSE))*0.0000258</f>
        <v>0</v>
      </c>
      <c r="AL31" s="547">
        <f t="shared" si="24"/>
        <v>0</v>
      </c>
      <c r="AM31" s="611"/>
      <c r="AN31" s="569">
        <f t="shared" si="1"/>
        <v>0</v>
      </c>
      <c r="AO31" s="569">
        <f t="shared" si="2"/>
        <v>0</v>
      </c>
      <c r="AP31" s="569">
        <f t="shared" si="3"/>
        <v>0</v>
      </c>
      <c r="AQ31" s="569">
        <f t="shared" si="12"/>
        <v>0</v>
      </c>
      <c r="AR31" s="569">
        <f t="shared" si="13"/>
        <v>0</v>
      </c>
      <c r="AS31" s="569">
        <f t="shared" si="14"/>
        <v>0</v>
      </c>
      <c r="AT31" s="584">
        <f>IF(U31&lt;&gt;0,(AP31*係数!$H$30+IF($D$10="都市ガス",AQ31*$Z$4,AQ31/0.458*$Z$6)*AN31+AR31*係数!$H$30+IF($D$10="都市ガス",AS31*$Z$4,AS31/0.458*$Z$6)*AO31)/U31,0)</f>
        <v>0</v>
      </c>
      <c r="AU31" s="569">
        <f t="shared" si="4"/>
        <v>0</v>
      </c>
      <c r="AV31" s="569">
        <f t="shared" si="5"/>
        <v>0</v>
      </c>
      <c r="AW31" s="569">
        <f t="shared" si="15"/>
        <v>0</v>
      </c>
      <c r="AX31" s="569">
        <f t="shared" si="16"/>
        <v>0</v>
      </c>
      <c r="AY31" s="569">
        <f t="shared" si="17"/>
        <v>0</v>
      </c>
      <c r="AZ31" s="569">
        <f t="shared" si="18"/>
        <v>0</v>
      </c>
      <c r="BA31" s="586">
        <f>IF(AH31&lt;&gt;0,(AW31*係数!$H$30+IF($D$10="都市ガス",AX31*$Z$4,AX31/0.458*$Z$6)*AU31+AY31*係数!$H$30+IF($D$10="都市ガス",AZ31*$Z$4,AZ31/0.458*$Z$6)*AV31)/AH31,0)</f>
        <v>0</v>
      </c>
    </row>
    <row r="32" spans="2:53" x14ac:dyDescent="0.55000000000000004">
      <c r="B32" s="194" t="s">
        <v>61</v>
      </c>
      <c r="C32" s="25"/>
      <c r="D32" s="25"/>
      <c r="E32" s="6"/>
      <c r="F32" s="427">
        <f t="shared" si="6"/>
        <v>1</v>
      </c>
      <c r="G32" s="129"/>
      <c r="H32" s="164"/>
      <c r="I32" s="164"/>
      <c r="J32" s="503"/>
      <c r="K32" s="503"/>
      <c r="L32" s="504">
        <f t="shared" si="7"/>
        <v>0</v>
      </c>
      <c r="M32" s="129"/>
      <c r="N32" s="164"/>
      <c r="O32" s="164"/>
      <c r="P32" s="503"/>
      <c r="Q32" s="503"/>
      <c r="R32" s="504">
        <f t="shared" si="8"/>
        <v>0</v>
      </c>
      <c r="S32" s="20">
        <f t="shared" si="9"/>
        <v>0</v>
      </c>
      <c r="T32" s="41">
        <f t="shared" si="19"/>
        <v>0</v>
      </c>
      <c r="U32" s="93">
        <f>S32*係数!$H$30+IF($D$10="都市ガス",T32*$Z$4,T32/0.458*$Z$6)</f>
        <v>0</v>
      </c>
      <c r="V32" s="25"/>
      <c r="W32" s="6"/>
      <c r="X32" s="129"/>
      <c r="Y32" s="140"/>
      <c r="Z32" s="164"/>
      <c r="AA32" s="428">
        <f t="shared" si="10"/>
        <v>0</v>
      </c>
      <c r="AB32" s="129"/>
      <c r="AC32" s="140"/>
      <c r="AD32" s="164"/>
      <c r="AE32" s="36">
        <f t="shared" si="11"/>
        <v>0</v>
      </c>
      <c r="AF32" s="24">
        <f t="shared" si="20"/>
        <v>0</v>
      </c>
      <c r="AG32" s="618">
        <f t="shared" si="21"/>
        <v>0</v>
      </c>
      <c r="AH32" s="93">
        <f>AF32*係数!$H$30+IF($D$10="都市ガス",AG32*$Z$4,AG32/0.458*$Z$6)</f>
        <v>0</v>
      </c>
      <c r="AI32" s="448">
        <f t="shared" si="22"/>
        <v>0</v>
      </c>
      <c r="AJ32" s="439">
        <f t="shared" si="23"/>
        <v>0</v>
      </c>
      <c r="AK32" s="547">
        <f>(AI32*係数!$C$30+AJ32*VLOOKUP($D$10,係数!$B$3:$C$30,2,FALSE))*0.0000258</f>
        <v>0</v>
      </c>
      <c r="AL32" s="547">
        <f t="shared" si="24"/>
        <v>0</v>
      </c>
      <c r="AM32" s="611"/>
      <c r="AN32" s="569">
        <f t="shared" si="1"/>
        <v>0</v>
      </c>
      <c r="AO32" s="569">
        <f t="shared" si="2"/>
        <v>0</v>
      </c>
      <c r="AP32" s="569">
        <f t="shared" si="3"/>
        <v>0</v>
      </c>
      <c r="AQ32" s="569">
        <f t="shared" si="12"/>
        <v>0</v>
      </c>
      <c r="AR32" s="569">
        <f t="shared" si="13"/>
        <v>0</v>
      </c>
      <c r="AS32" s="569">
        <f t="shared" si="14"/>
        <v>0</v>
      </c>
      <c r="AT32" s="584">
        <f>IF(U32&lt;&gt;0,(AP32*係数!$H$30+IF($D$10="都市ガス",AQ32*$Z$4,AQ32/0.458*$Z$6)*AN32+AR32*係数!$H$30+IF($D$10="都市ガス",AS32*$Z$4,AS32/0.458*$Z$6)*AO32)/U32,0)</f>
        <v>0</v>
      </c>
      <c r="AU32" s="569">
        <f t="shared" si="4"/>
        <v>0</v>
      </c>
      <c r="AV32" s="569">
        <f t="shared" si="5"/>
        <v>0</v>
      </c>
      <c r="AW32" s="569">
        <f t="shared" si="15"/>
        <v>0</v>
      </c>
      <c r="AX32" s="569">
        <f t="shared" si="16"/>
        <v>0</v>
      </c>
      <c r="AY32" s="569">
        <f t="shared" si="17"/>
        <v>0</v>
      </c>
      <c r="AZ32" s="569">
        <f t="shared" si="18"/>
        <v>0</v>
      </c>
      <c r="BA32" s="586">
        <f>IF(AH32&lt;&gt;0,(AW32*係数!$H$30+IF($D$10="都市ガス",AX32*$Z$4,AX32/0.458*$Z$6)*AU32+AY32*係数!$H$30+IF($D$10="都市ガス",AZ32*$Z$4,AZ32/0.458*$Z$6)*AV32)/AH32,0)</f>
        <v>0</v>
      </c>
    </row>
    <row r="33" spans="2:53" x14ac:dyDescent="0.55000000000000004">
      <c r="B33" s="194" t="s">
        <v>62</v>
      </c>
      <c r="C33" s="25"/>
      <c r="D33" s="25"/>
      <c r="E33" s="6"/>
      <c r="F33" s="427">
        <f t="shared" si="6"/>
        <v>1</v>
      </c>
      <c r="G33" s="129"/>
      <c r="H33" s="164"/>
      <c r="I33" s="164"/>
      <c r="J33" s="503"/>
      <c r="K33" s="503"/>
      <c r="L33" s="504">
        <f t="shared" si="7"/>
        <v>0</v>
      </c>
      <c r="M33" s="129"/>
      <c r="N33" s="164"/>
      <c r="O33" s="164"/>
      <c r="P33" s="503"/>
      <c r="Q33" s="503"/>
      <c r="R33" s="504">
        <f t="shared" si="8"/>
        <v>0</v>
      </c>
      <c r="S33" s="20">
        <f t="shared" si="9"/>
        <v>0</v>
      </c>
      <c r="T33" s="41">
        <f t="shared" si="19"/>
        <v>0</v>
      </c>
      <c r="U33" s="93">
        <f>S33*係数!$H$30+IF($D$10="都市ガス",T33*$Z$4,T33/0.458*$Z$6)</f>
        <v>0</v>
      </c>
      <c r="V33" s="25"/>
      <c r="W33" s="6"/>
      <c r="X33" s="129"/>
      <c r="Y33" s="140"/>
      <c r="Z33" s="164"/>
      <c r="AA33" s="428">
        <f t="shared" si="10"/>
        <v>0</v>
      </c>
      <c r="AB33" s="129"/>
      <c r="AC33" s="140"/>
      <c r="AD33" s="164"/>
      <c r="AE33" s="36">
        <f t="shared" si="11"/>
        <v>0</v>
      </c>
      <c r="AF33" s="24">
        <f t="shared" si="20"/>
        <v>0</v>
      </c>
      <c r="AG33" s="618">
        <f t="shared" si="21"/>
        <v>0</v>
      </c>
      <c r="AH33" s="93">
        <f>AF33*係数!$H$30+IF($D$10="都市ガス",AG33*$Z$4,AG33/0.458*$Z$6)</f>
        <v>0</v>
      </c>
      <c r="AI33" s="448">
        <f t="shared" si="22"/>
        <v>0</v>
      </c>
      <c r="AJ33" s="439">
        <f t="shared" si="23"/>
        <v>0</v>
      </c>
      <c r="AK33" s="547">
        <f>(AI33*係数!$C$30+AJ33*VLOOKUP($D$10,係数!$B$3:$C$30,2,FALSE))*0.0000258</f>
        <v>0</v>
      </c>
      <c r="AL33" s="547">
        <f t="shared" si="24"/>
        <v>0</v>
      </c>
      <c r="AM33" s="611"/>
      <c r="AN33" s="569">
        <f t="shared" si="1"/>
        <v>0</v>
      </c>
      <c r="AO33" s="569">
        <f t="shared" si="2"/>
        <v>0</v>
      </c>
      <c r="AP33" s="569">
        <f t="shared" si="3"/>
        <v>0</v>
      </c>
      <c r="AQ33" s="569">
        <f t="shared" si="12"/>
        <v>0</v>
      </c>
      <c r="AR33" s="569">
        <f t="shared" si="13"/>
        <v>0</v>
      </c>
      <c r="AS33" s="569">
        <f t="shared" si="14"/>
        <v>0</v>
      </c>
      <c r="AT33" s="584">
        <f>IF(U33&lt;&gt;0,(AP33*係数!$H$30+IF($D$10="都市ガス",AQ33*$Z$4,AQ33/0.458*$Z$6)*AN33+AR33*係数!$H$30+IF($D$10="都市ガス",AS33*$Z$4,AS33/0.458*$Z$6)*AO33)/U33,0)</f>
        <v>0</v>
      </c>
      <c r="AU33" s="569">
        <f t="shared" si="4"/>
        <v>0</v>
      </c>
      <c r="AV33" s="569">
        <f t="shared" si="5"/>
        <v>0</v>
      </c>
      <c r="AW33" s="569">
        <f t="shared" si="15"/>
        <v>0</v>
      </c>
      <c r="AX33" s="569">
        <f t="shared" si="16"/>
        <v>0</v>
      </c>
      <c r="AY33" s="569">
        <f t="shared" si="17"/>
        <v>0</v>
      </c>
      <c r="AZ33" s="569">
        <f t="shared" si="18"/>
        <v>0</v>
      </c>
      <c r="BA33" s="586">
        <f>IF(AH33&lt;&gt;0,(AW33*係数!$H$30+IF($D$10="都市ガス",AX33*$Z$4,AX33/0.458*$Z$6)*AU33+AY33*係数!$H$30+IF($D$10="都市ガス",AZ33*$Z$4,AZ33/0.458*$Z$6)*AV33)/AH33,0)</f>
        <v>0</v>
      </c>
    </row>
    <row r="34" spans="2:53" x14ac:dyDescent="0.55000000000000004">
      <c r="B34" s="194" t="s">
        <v>63</v>
      </c>
      <c r="C34" s="25"/>
      <c r="D34" s="25"/>
      <c r="E34" s="6"/>
      <c r="F34" s="427">
        <f t="shared" si="6"/>
        <v>1</v>
      </c>
      <c r="G34" s="129"/>
      <c r="H34" s="164"/>
      <c r="I34" s="164"/>
      <c r="J34" s="503"/>
      <c r="K34" s="503"/>
      <c r="L34" s="504">
        <f t="shared" si="7"/>
        <v>0</v>
      </c>
      <c r="M34" s="129"/>
      <c r="N34" s="164"/>
      <c r="O34" s="164"/>
      <c r="P34" s="503"/>
      <c r="Q34" s="503"/>
      <c r="R34" s="504">
        <f t="shared" si="8"/>
        <v>0</v>
      </c>
      <c r="S34" s="20">
        <f t="shared" si="9"/>
        <v>0</v>
      </c>
      <c r="T34" s="41">
        <f t="shared" si="19"/>
        <v>0</v>
      </c>
      <c r="U34" s="93">
        <f>S34*係数!$H$30+IF($D$10="都市ガス",T34*$Z$4,T34/0.458*$Z$6)</f>
        <v>0</v>
      </c>
      <c r="V34" s="25"/>
      <c r="W34" s="6"/>
      <c r="X34" s="129"/>
      <c r="Y34" s="140"/>
      <c r="Z34" s="164"/>
      <c r="AA34" s="428">
        <f t="shared" si="10"/>
        <v>0</v>
      </c>
      <c r="AB34" s="129"/>
      <c r="AC34" s="140"/>
      <c r="AD34" s="164"/>
      <c r="AE34" s="36">
        <f t="shared" si="11"/>
        <v>0</v>
      </c>
      <c r="AF34" s="24">
        <f t="shared" si="20"/>
        <v>0</v>
      </c>
      <c r="AG34" s="618">
        <f t="shared" si="21"/>
        <v>0</v>
      </c>
      <c r="AH34" s="93">
        <f>AF34*係数!$H$30+IF($D$10="都市ガス",AG34*$Z$4,AG34/0.458*$Z$6)</f>
        <v>0</v>
      </c>
      <c r="AI34" s="448">
        <f t="shared" si="22"/>
        <v>0</v>
      </c>
      <c r="AJ34" s="439">
        <f t="shared" si="23"/>
        <v>0</v>
      </c>
      <c r="AK34" s="547">
        <f>(AI34*係数!$C$30+AJ34*VLOOKUP($D$10,係数!$B$3:$C$30,2,FALSE))*0.0000258</f>
        <v>0</v>
      </c>
      <c r="AL34" s="547">
        <f t="shared" si="24"/>
        <v>0</v>
      </c>
      <c r="AM34" s="611"/>
      <c r="AN34" s="569">
        <f t="shared" si="1"/>
        <v>0</v>
      </c>
      <c r="AO34" s="569">
        <f t="shared" si="2"/>
        <v>0</v>
      </c>
      <c r="AP34" s="569">
        <f t="shared" si="3"/>
        <v>0</v>
      </c>
      <c r="AQ34" s="569">
        <f t="shared" si="12"/>
        <v>0</v>
      </c>
      <c r="AR34" s="569">
        <f t="shared" si="13"/>
        <v>0</v>
      </c>
      <c r="AS34" s="569">
        <f t="shared" si="14"/>
        <v>0</v>
      </c>
      <c r="AT34" s="584">
        <f>IF(U34&lt;&gt;0,(AP34*係数!$H$30+IF($D$10="都市ガス",AQ34*$Z$4,AQ34/0.458*$Z$6)*AN34+AR34*係数!$H$30+IF($D$10="都市ガス",AS34*$Z$4,AS34/0.458*$Z$6)*AO34)/U34,0)</f>
        <v>0</v>
      </c>
      <c r="AU34" s="569">
        <f t="shared" si="4"/>
        <v>0</v>
      </c>
      <c r="AV34" s="569">
        <f t="shared" si="5"/>
        <v>0</v>
      </c>
      <c r="AW34" s="569">
        <f t="shared" si="15"/>
        <v>0</v>
      </c>
      <c r="AX34" s="569">
        <f t="shared" si="16"/>
        <v>0</v>
      </c>
      <c r="AY34" s="569">
        <f t="shared" si="17"/>
        <v>0</v>
      </c>
      <c r="AZ34" s="569">
        <f t="shared" si="18"/>
        <v>0</v>
      </c>
      <c r="BA34" s="586">
        <f>IF(AH34&lt;&gt;0,(AW34*係数!$H$30+IF($D$10="都市ガス",AX34*$Z$4,AX34/0.458*$Z$6)*AU34+AY34*係数!$H$30+IF($D$10="都市ガス",AZ34*$Z$4,AZ34/0.458*$Z$6)*AV34)/AH34,0)</f>
        <v>0</v>
      </c>
    </row>
    <row r="35" spans="2:53" x14ac:dyDescent="0.55000000000000004">
      <c r="B35" s="194" t="s">
        <v>64</v>
      </c>
      <c r="C35" s="25"/>
      <c r="D35" s="25"/>
      <c r="E35" s="6"/>
      <c r="F35" s="427">
        <f t="shared" si="6"/>
        <v>1</v>
      </c>
      <c r="G35" s="129"/>
      <c r="H35" s="164"/>
      <c r="I35" s="164"/>
      <c r="J35" s="503"/>
      <c r="K35" s="503"/>
      <c r="L35" s="504">
        <f t="shared" si="7"/>
        <v>0</v>
      </c>
      <c r="M35" s="129"/>
      <c r="N35" s="164"/>
      <c r="O35" s="164"/>
      <c r="P35" s="503"/>
      <c r="Q35" s="503"/>
      <c r="R35" s="504">
        <f t="shared" si="8"/>
        <v>0</v>
      </c>
      <c r="S35" s="20">
        <f t="shared" si="9"/>
        <v>0</v>
      </c>
      <c r="T35" s="41">
        <f t="shared" si="19"/>
        <v>0</v>
      </c>
      <c r="U35" s="93">
        <f>S35*係数!$H$30+IF($D$10="都市ガス",T35*$Z$4,T35/0.458*$Z$6)</f>
        <v>0</v>
      </c>
      <c r="V35" s="25"/>
      <c r="W35" s="6"/>
      <c r="X35" s="129"/>
      <c r="Y35" s="140"/>
      <c r="Z35" s="164"/>
      <c r="AA35" s="428">
        <f t="shared" si="10"/>
        <v>0</v>
      </c>
      <c r="AB35" s="129"/>
      <c r="AC35" s="140"/>
      <c r="AD35" s="164"/>
      <c r="AE35" s="36">
        <f t="shared" si="11"/>
        <v>0</v>
      </c>
      <c r="AF35" s="24">
        <f t="shared" si="20"/>
        <v>0</v>
      </c>
      <c r="AG35" s="618">
        <f t="shared" si="21"/>
        <v>0</v>
      </c>
      <c r="AH35" s="93">
        <f>AF35*係数!$H$30+IF($D$10="都市ガス",AG35*$Z$4,AG35/0.458*$Z$6)</f>
        <v>0</v>
      </c>
      <c r="AI35" s="448">
        <f t="shared" si="22"/>
        <v>0</v>
      </c>
      <c r="AJ35" s="439">
        <f t="shared" si="23"/>
        <v>0</v>
      </c>
      <c r="AK35" s="547">
        <f>(AI35*係数!$C$30+AJ35*VLOOKUP($D$10,係数!$B$3:$C$30,2,FALSE))*0.0000258</f>
        <v>0</v>
      </c>
      <c r="AL35" s="547">
        <f t="shared" si="24"/>
        <v>0</v>
      </c>
      <c r="AM35" s="611"/>
      <c r="AN35" s="569">
        <f t="shared" si="1"/>
        <v>0</v>
      </c>
      <c r="AO35" s="569">
        <f t="shared" si="2"/>
        <v>0</v>
      </c>
      <c r="AP35" s="569">
        <f t="shared" si="3"/>
        <v>0</v>
      </c>
      <c r="AQ35" s="569">
        <f t="shared" si="12"/>
        <v>0</v>
      </c>
      <c r="AR35" s="569">
        <f t="shared" si="13"/>
        <v>0</v>
      </c>
      <c r="AS35" s="569">
        <f t="shared" si="14"/>
        <v>0</v>
      </c>
      <c r="AT35" s="584">
        <f>IF(U35&lt;&gt;0,(AP35*係数!$H$30+IF($D$10="都市ガス",AQ35*$Z$4,AQ35/0.458*$Z$6)*AN35+AR35*係数!$H$30+IF($D$10="都市ガス",AS35*$Z$4,AS35/0.458*$Z$6)*AO35)/U35,0)</f>
        <v>0</v>
      </c>
      <c r="AU35" s="569">
        <f t="shared" si="4"/>
        <v>0</v>
      </c>
      <c r="AV35" s="569">
        <f t="shared" si="5"/>
        <v>0</v>
      </c>
      <c r="AW35" s="569">
        <f t="shared" si="15"/>
        <v>0</v>
      </c>
      <c r="AX35" s="569">
        <f t="shared" si="16"/>
        <v>0</v>
      </c>
      <c r="AY35" s="569">
        <f t="shared" si="17"/>
        <v>0</v>
      </c>
      <c r="AZ35" s="569">
        <f t="shared" si="18"/>
        <v>0</v>
      </c>
      <c r="BA35" s="586">
        <f>IF(AH35&lt;&gt;0,(AW35*係数!$H$30+IF($D$10="都市ガス",AX35*$Z$4,AX35/0.458*$Z$6)*AU35+AY35*係数!$H$30+IF($D$10="都市ガス",AZ35*$Z$4,AZ35/0.458*$Z$6)*AV35)/AH35,0)</f>
        <v>0</v>
      </c>
    </row>
    <row r="36" spans="2:53" x14ac:dyDescent="0.55000000000000004">
      <c r="B36" s="194" t="s">
        <v>65</v>
      </c>
      <c r="C36" s="25"/>
      <c r="D36" s="25"/>
      <c r="E36" s="6"/>
      <c r="F36" s="427">
        <f t="shared" si="6"/>
        <v>1</v>
      </c>
      <c r="G36" s="129"/>
      <c r="H36" s="164"/>
      <c r="I36" s="164"/>
      <c r="J36" s="503"/>
      <c r="K36" s="503"/>
      <c r="L36" s="504">
        <f t="shared" si="7"/>
        <v>0</v>
      </c>
      <c r="M36" s="129"/>
      <c r="N36" s="164"/>
      <c r="O36" s="164"/>
      <c r="P36" s="503"/>
      <c r="Q36" s="503"/>
      <c r="R36" s="504">
        <f t="shared" si="8"/>
        <v>0</v>
      </c>
      <c r="S36" s="20">
        <f t="shared" si="9"/>
        <v>0</v>
      </c>
      <c r="T36" s="41">
        <f t="shared" si="19"/>
        <v>0</v>
      </c>
      <c r="U36" s="93">
        <f>S36*係数!$H$30+IF($D$10="都市ガス",T36*$Z$4,T36/0.458*$Z$6)</f>
        <v>0</v>
      </c>
      <c r="V36" s="25"/>
      <c r="W36" s="6"/>
      <c r="X36" s="129"/>
      <c r="Y36" s="140"/>
      <c r="Z36" s="164"/>
      <c r="AA36" s="428">
        <f t="shared" si="10"/>
        <v>0</v>
      </c>
      <c r="AB36" s="129"/>
      <c r="AC36" s="140"/>
      <c r="AD36" s="164"/>
      <c r="AE36" s="36">
        <f t="shared" si="11"/>
        <v>0</v>
      </c>
      <c r="AF36" s="24">
        <f t="shared" si="20"/>
        <v>0</v>
      </c>
      <c r="AG36" s="618">
        <f t="shared" si="21"/>
        <v>0</v>
      </c>
      <c r="AH36" s="93">
        <f>AF36*係数!$H$30+IF($D$10="都市ガス",AG36*$Z$4,AG36/0.458*$Z$6)</f>
        <v>0</v>
      </c>
      <c r="AI36" s="448">
        <f t="shared" si="22"/>
        <v>0</v>
      </c>
      <c r="AJ36" s="439">
        <f t="shared" si="23"/>
        <v>0</v>
      </c>
      <c r="AK36" s="547">
        <f>(AI36*係数!$C$30+AJ36*VLOOKUP($D$10,係数!$B$3:$C$30,2,FALSE))*0.0000258</f>
        <v>0</v>
      </c>
      <c r="AL36" s="547">
        <f t="shared" si="24"/>
        <v>0</v>
      </c>
      <c r="AM36" s="611"/>
      <c r="AN36" s="569">
        <f t="shared" si="1"/>
        <v>0</v>
      </c>
      <c r="AO36" s="569">
        <f t="shared" si="2"/>
        <v>0</v>
      </c>
      <c r="AP36" s="569">
        <f t="shared" si="3"/>
        <v>0</v>
      </c>
      <c r="AQ36" s="569">
        <f t="shared" si="12"/>
        <v>0</v>
      </c>
      <c r="AR36" s="569">
        <f t="shared" si="13"/>
        <v>0</v>
      </c>
      <c r="AS36" s="569">
        <f t="shared" si="14"/>
        <v>0</v>
      </c>
      <c r="AT36" s="584">
        <f>IF(U36&lt;&gt;0,(AP36*係数!$H$30+IF($D$10="都市ガス",AQ36*$Z$4,AQ36/0.458*$Z$6)*AN36+AR36*係数!$H$30+IF($D$10="都市ガス",AS36*$Z$4,AS36/0.458*$Z$6)*AO36)/U36,0)</f>
        <v>0</v>
      </c>
      <c r="AU36" s="569">
        <f t="shared" si="4"/>
        <v>0</v>
      </c>
      <c r="AV36" s="569">
        <f t="shared" si="5"/>
        <v>0</v>
      </c>
      <c r="AW36" s="569">
        <f t="shared" si="15"/>
        <v>0</v>
      </c>
      <c r="AX36" s="569">
        <f t="shared" si="16"/>
        <v>0</v>
      </c>
      <c r="AY36" s="569">
        <f t="shared" si="17"/>
        <v>0</v>
      </c>
      <c r="AZ36" s="569">
        <f t="shared" si="18"/>
        <v>0</v>
      </c>
      <c r="BA36" s="586">
        <f>IF(AH36&lt;&gt;0,(AW36*係数!$H$30+IF($D$10="都市ガス",AX36*$Z$4,AX36/0.458*$Z$6)*AU36+AY36*係数!$H$30+IF($D$10="都市ガス",AZ36*$Z$4,AZ36/0.458*$Z$6)*AV36)/AH36,0)</f>
        <v>0</v>
      </c>
    </row>
    <row r="37" spans="2:53" x14ac:dyDescent="0.55000000000000004">
      <c r="B37" s="194" t="s">
        <v>66</v>
      </c>
      <c r="C37" s="25"/>
      <c r="D37" s="25"/>
      <c r="E37" s="6"/>
      <c r="F37" s="427">
        <f t="shared" si="6"/>
        <v>1</v>
      </c>
      <c r="G37" s="129"/>
      <c r="H37" s="164"/>
      <c r="I37" s="164"/>
      <c r="J37" s="503"/>
      <c r="K37" s="503"/>
      <c r="L37" s="504">
        <f t="shared" si="7"/>
        <v>0</v>
      </c>
      <c r="M37" s="129"/>
      <c r="N37" s="164"/>
      <c r="O37" s="164"/>
      <c r="P37" s="503"/>
      <c r="Q37" s="503"/>
      <c r="R37" s="504">
        <f t="shared" si="8"/>
        <v>0</v>
      </c>
      <c r="S37" s="20">
        <f t="shared" si="9"/>
        <v>0</v>
      </c>
      <c r="T37" s="41">
        <f t="shared" si="19"/>
        <v>0</v>
      </c>
      <c r="U37" s="93">
        <f>S37*係数!$H$30+IF($D$10="都市ガス",T37*$Z$4,T37/0.458*$Z$6)</f>
        <v>0</v>
      </c>
      <c r="V37" s="25"/>
      <c r="W37" s="6"/>
      <c r="X37" s="129"/>
      <c r="Y37" s="140"/>
      <c r="Z37" s="164"/>
      <c r="AA37" s="428">
        <f t="shared" si="10"/>
        <v>0</v>
      </c>
      <c r="AB37" s="129"/>
      <c r="AC37" s="140"/>
      <c r="AD37" s="164"/>
      <c r="AE37" s="36">
        <f t="shared" si="11"/>
        <v>0</v>
      </c>
      <c r="AF37" s="24">
        <f t="shared" si="20"/>
        <v>0</v>
      </c>
      <c r="AG37" s="618">
        <f t="shared" si="21"/>
        <v>0</v>
      </c>
      <c r="AH37" s="93">
        <f>AF37*係数!$H$30+IF($D$10="都市ガス",AG37*$Z$4,AG37/0.458*$Z$6)</f>
        <v>0</v>
      </c>
      <c r="AI37" s="448">
        <f t="shared" si="22"/>
        <v>0</v>
      </c>
      <c r="AJ37" s="439">
        <f t="shared" si="23"/>
        <v>0</v>
      </c>
      <c r="AK37" s="547">
        <f>(AI37*係数!$C$30+AJ37*VLOOKUP($D$10,係数!$B$3:$C$30,2,FALSE))*0.0000258</f>
        <v>0</v>
      </c>
      <c r="AL37" s="547">
        <f t="shared" si="24"/>
        <v>0</v>
      </c>
      <c r="AM37" s="611"/>
      <c r="AN37" s="569">
        <f t="shared" si="1"/>
        <v>0</v>
      </c>
      <c r="AO37" s="569">
        <f t="shared" si="2"/>
        <v>0</v>
      </c>
      <c r="AP37" s="569">
        <f t="shared" si="3"/>
        <v>0</v>
      </c>
      <c r="AQ37" s="569">
        <f t="shared" si="12"/>
        <v>0</v>
      </c>
      <c r="AR37" s="569">
        <f t="shared" si="13"/>
        <v>0</v>
      </c>
      <c r="AS37" s="569">
        <f t="shared" si="14"/>
        <v>0</v>
      </c>
      <c r="AT37" s="584">
        <f>IF(U37&lt;&gt;0,(AP37*係数!$H$30+IF($D$10="都市ガス",AQ37*$Z$4,AQ37/0.458*$Z$6)*AN37+AR37*係数!$H$30+IF($D$10="都市ガス",AS37*$Z$4,AS37/0.458*$Z$6)*AO37)/U37,0)</f>
        <v>0</v>
      </c>
      <c r="AU37" s="569">
        <f t="shared" si="4"/>
        <v>0</v>
      </c>
      <c r="AV37" s="569">
        <f t="shared" si="5"/>
        <v>0</v>
      </c>
      <c r="AW37" s="569">
        <f t="shared" si="15"/>
        <v>0</v>
      </c>
      <c r="AX37" s="569">
        <f t="shared" si="16"/>
        <v>0</v>
      </c>
      <c r="AY37" s="569">
        <f t="shared" si="17"/>
        <v>0</v>
      </c>
      <c r="AZ37" s="569">
        <f t="shared" si="18"/>
        <v>0</v>
      </c>
      <c r="BA37" s="586">
        <f>IF(AH37&lt;&gt;0,(AW37*係数!$H$30+IF($D$10="都市ガス",AX37*$Z$4,AX37/0.458*$Z$6)*AU37+AY37*係数!$H$30+IF($D$10="都市ガス",AZ37*$Z$4,AZ37/0.458*$Z$6)*AV37)/AH37,0)</f>
        <v>0</v>
      </c>
    </row>
    <row r="38" spans="2:53" x14ac:dyDescent="0.55000000000000004">
      <c r="B38" s="194" t="s">
        <v>67</v>
      </c>
      <c r="C38" s="25"/>
      <c r="D38" s="25"/>
      <c r="E38" s="6"/>
      <c r="F38" s="427">
        <f t="shared" si="6"/>
        <v>1</v>
      </c>
      <c r="G38" s="129"/>
      <c r="H38" s="164"/>
      <c r="I38" s="164"/>
      <c r="J38" s="503"/>
      <c r="K38" s="503"/>
      <c r="L38" s="504">
        <f t="shared" si="7"/>
        <v>0</v>
      </c>
      <c r="M38" s="129"/>
      <c r="N38" s="164"/>
      <c r="O38" s="164"/>
      <c r="P38" s="503"/>
      <c r="Q38" s="503"/>
      <c r="R38" s="504">
        <f t="shared" si="8"/>
        <v>0</v>
      </c>
      <c r="S38" s="20">
        <f t="shared" si="9"/>
        <v>0</v>
      </c>
      <c r="T38" s="41">
        <f t="shared" si="19"/>
        <v>0</v>
      </c>
      <c r="U38" s="93">
        <f>S38*係数!$H$30+IF($D$10="都市ガス",T38*$Z$4,T38/0.458*$Z$6)</f>
        <v>0</v>
      </c>
      <c r="V38" s="25"/>
      <c r="W38" s="6"/>
      <c r="X38" s="129"/>
      <c r="Y38" s="140"/>
      <c r="Z38" s="164"/>
      <c r="AA38" s="428">
        <f t="shared" si="10"/>
        <v>0</v>
      </c>
      <c r="AB38" s="129"/>
      <c r="AC38" s="140"/>
      <c r="AD38" s="164"/>
      <c r="AE38" s="36">
        <f t="shared" si="11"/>
        <v>0</v>
      </c>
      <c r="AF38" s="24">
        <f t="shared" si="20"/>
        <v>0</v>
      </c>
      <c r="AG38" s="618">
        <f t="shared" si="21"/>
        <v>0</v>
      </c>
      <c r="AH38" s="93">
        <f>AF38*係数!$H$30+IF($D$10="都市ガス",AG38*$Z$4,AG38/0.458*$Z$6)</f>
        <v>0</v>
      </c>
      <c r="AI38" s="448">
        <f t="shared" si="22"/>
        <v>0</v>
      </c>
      <c r="AJ38" s="439">
        <f t="shared" si="23"/>
        <v>0</v>
      </c>
      <c r="AK38" s="547">
        <f>(AI38*係数!$C$30+AJ38*VLOOKUP($D$10,係数!$B$3:$C$30,2,FALSE))*0.0000258</f>
        <v>0</v>
      </c>
      <c r="AL38" s="547">
        <f t="shared" si="24"/>
        <v>0</v>
      </c>
      <c r="AM38" s="611"/>
      <c r="AN38" s="569">
        <f t="shared" si="1"/>
        <v>0</v>
      </c>
      <c r="AO38" s="569">
        <f t="shared" si="2"/>
        <v>0</v>
      </c>
      <c r="AP38" s="569">
        <f t="shared" si="3"/>
        <v>0</v>
      </c>
      <c r="AQ38" s="569">
        <f t="shared" si="12"/>
        <v>0</v>
      </c>
      <c r="AR38" s="569">
        <f t="shared" si="13"/>
        <v>0</v>
      </c>
      <c r="AS38" s="569">
        <f t="shared" si="14"/>
        <v>0</v>
      </c>
      <c r="AT38" s="584">
        <f>IF(U38&lt;&gt;0,(AP38*係数!$H$30+IF($D$10="都市ガス",AQ38*$Z$4,AQ38/0.458*$Z$6)*AN38+AR38*係数!$H$30+IF($D$10="都市ガス",AS38*$Z$4,AS38/0.458*$Z$6)*AO38)/U38,0)</f>
        <v>0</v>
      </c>
      <c r="AU38" s="569">
        <f t="shared" si="4"/>
        <v>0</v>
      </c>
      <c r="AV38" s="569">
        <f t="shared" si="5"/>
        <v>0</v>
      </c>
      <c r="AW38" s="569">
        <f t="shared" si="15"/>
        <v>0</v>
      </c>
      <c r="AX38" s="569">
        <f t="shared" si="16"/>
        <v>0</v>
      </c>
      <c r="AY38" s="569">
        <f t="shared" si="17"/>
        <v>0</v>
      </c>
      <c r="AZ38" s="569">
        <f t="shared" si="18"/>
        <v>0</v>
      </c>
      <c r="BA38" s="586">
        <f>IF(AH38&lt;&gt;0,(AW38*係数!$H$30+IF($D$10="都市ガス",AX38*$Z$4,AX38/0.458*$Z$6)*AU38+AY38*係数!$H$30+IF($D$10="都市ガス",AZ38*$Z$4,AZ38/0.458*$Z$6)*AV38)/AH38,0)</f>
        <v>0</v>
      </c>
    </row>
    <row r="39" spans="2:53" x14ac:dyDescent="0.55000000000000004">
      <c r="B39" s="194" t="s">
        <v>68</v>
      </c>
      <c r="C39" s="25"/>
      <c r="D39" s="25"/>
      <c r="E39" s="6"/>
      <c r="F39" s="427">
        <f t="shared" si="6"/>
        <v>1</v>
      </c>
      <c r="G39" s="129"/>
      <c r="H39" s="164"/>
      <c r="I39" s="164"/>
      <c r="J39" s="503"/>
      <c r="K39" s="503"/>
      <c r="L39" s="504">
        <f t="shared" si="7"/>
        <v>0</v>
      </c>
      <c r="M39" s="129"/>
      <c r="N39" s="164"/>
      <c r="O39" s="164"/>
      <c r="P39" s="503"/>
      <c r="Q39" s="503"/>
      <c r="R39" s="504">
        <f t="shared" si="8"/>
        <v>0</v>
      </c>
      <c r="S39" s="20">
        <f t="shared" si="9"/>
        <v>0</v>
      </c>
      <c r="T39" s="41">
        <f t="shared" si="19"/>
        <v>0</v>
      </c>
      <c r="U39" s="93">
        <f>S39*係数!$H$30+IF($D$10="都市ガス",T39*$Z$4,T39/0.458*$Z$6)</f>
        <v>0</v>
      </c>
      <c r="V39" s="25"/>
      <c r="W39" s="6"/>
      <c r="X39" s="129"/>
      <c r="Y39" s="140"/>
      <c r="Z39" s="164"/>
      <c r="AA39" s="428">
        <f t="shared" si="10"/>
        <v>0</v>
      </c>
      <c r="AB39" s="129"/>
      <c r="AC39" s="140"/>
      <c r="AD39" s="164"/>
      <c r="AE39" s="36">
        <f t="shared" si="11"/>
        <v>0</v>
      </c>
      <c r="AF39" s="24">
        <f t="shared" si="20"/>
        <v>0</v>
      </c>
      <c r="AG39" s="618">
        <f t="shared" si="21"/>
        <v>0</v>
      </c>
      <c r="AH39" s="93">
        <f>AF39*係数!$H$30+IF($D$10="都市ガス",AG39*$Z$4,AG39/0.458*$Z$6)</f>
        <v>0</v>
      </c>
      <c r="AI39" s="448">
        <f t="shared" si="22"/>
        <v>0</v>
      </c>
      <c r="AJ39" s="439">
        <f t="shared" si="23"/>
        <v>0</v>
      </c>
      <c r="AK39" s="547">
        <f>(AI39*係数!$C$30+AJ39*VLOOKUP($D$10,係数!$B$3:$C$30,2,FALSE))*0.0000258</f>
        <v>0</v>
      </c>
      <c r="AL39" s="547">
        <f t="shared" si="24"/>
        <v>0</v>
      </c>
      <c r="AM39" s="611"/>
      <c r="AN39" s="569">
        <f t="shared" si="1"/>
        <v>0</v>
      </c>
      <c r="AO39" s="569">
        <f t="shared" si="2"/>
        <v>0</v>
      </c>
      <c r="AP39" s="569">
        <f t="shared" si="3"/>
        <v>0</v>
      </c>
      <c r="AQ39" s="569">
        <f t="shared" si="12"/>
        <v>0</v>
      </c>
      <c r="AR39" s="569">
        <f t="shared" si="13"/>
        <v>0</v>
      </c>
      <c r="AS39" s="569">
        <f t="shared" si="14"/>
        <v>0</v>
      </c>
      <c r="AT39" s="584">
        <f>IF(U39&lt;&gt;0,(AP39*係数!$H$30+IF($D$10="都市ガス",AQ39*$Z$4,AQ39/0.458*$Z$6)*AN39+AR39*係数!$H$30+IF($D$10="都市ガス",AS39*$Z$4,AS39/0.458*$Z$6)*AO39)/U39,0)</f>
        <v>0</v>
      </c>
      <c r="AU39" s="569">
        <f t="shared" si="4"/>
        <v>0</v>
      </c>
      <c r="AV39" s="569">
        <f t="shared" si="5"/>
        <v>0</v>
      </c>
      <c r="AW39" s="569">
        <f t="shared" si="15"/>
        <v>0</v>
      </c>
      <c r="AX39" s="569">
        <f t="shared" si="16"/>
        <v>0</v>
      </c>
      <c r="AY39" s="569">
        <f t="shared" si="17"/>
        <v>0</v>
      </c>
      <c r="AZ39" s="569">
        <f t="shared" si="18"/>
        <v>0</v>
      </c>
      <c r="BA39" s="586">
        <f>IF(AH39&lt;&gt;0,(AW39*係数!$H$30+IF($D$10="都市ガス",AX39*$Z$4,AX39/0.458*$Z$6)*AU39+AY39*係数!$H$30+IF($D$10="都市ガス",AZ39*$Z$4,AZ39/0.458*$Z$6)*AV39)/AH39,0)</f>
        <v>0</v>
      </c>
    </row>
    <row r="40" spans="2:53" x14ac:dyDescent="0.55000000000000004">
      <c r="B40" s="194" t="s">
        <v>69</v>
      </c>
      <c r="C40" s="25"/>
      <c r="D40" s="25"/>
      <c r="E40" s="6"/>
      <c r="F40" s="427">
        <f t="shared" si="6"/>
        <v>1</v>
      </c>
      <c r="G40" s="129"/>
      <c r="H40" s="164"/>
      <c r="I40" s="164"/>
      <c r="J40" s="503"/>
      <c r="K40" s="503"/>
      <c r="L40" s="504">
        <f t="shared" si="7"/>
        <v>0</v>
      </c>
      <c r="M40" s="129"/>
      <c r="N40" s="164"/>
      <c r="O40" s="164"/>
      <c r="P40" s="503"/>
      <c r="Q40" s="503"/>
      <c r="R40" s="504">
        <f t="shared" si="8"/>
        <v>0</v>
      </c>
      <c r="S40" s="20">
        <f t="shared" si="9"/>
        <v>0</v>
      </c>
      <c r="T40" s="41">
        <f t="shared" si="19"/>
        <v>0</v>
      </c>
      <c r="U40" s="93">
        <f>S40*係数!$H$30+IF($D$10="都市ガス",T40*$Z$4,T40/0.458*$Z$6)</f>
        <v>0</v>
      </c>
      <c r="V40" s="25"/>
      <c r="W40" s="6"/>
      <c r="X40" s="129"/>
      <c r="Y40" s="140"/>
      <c r="Z40" s="164"/>
      <c r="AA40" s="428">
        <f t="shared" si="10"/>
        <v>0</v>
      </c>
      <c r="AB40" s="129"/>
      <c r="AC40" s="140"/>
      <c r="AD40" s="164"/>
      <c r="AE40" s="36">
        <f t="shared" si="11"/>
        <v>0</v>
      </c>
      <c r="AF40" s="24">
        <f t="shared" si="20"/>
        <v>0</v>
      </c>
      <c r="AG40" s="618">
        <f t="shared" si="21"/>
        <v>0</v>
      </c>
      <c r="AH40" s="93">
        <f>AF40*係数!$H$30+IF($D$10="都市ガス",AG40*$Z$4,AG40/0.458*$Z$6)</f>
        <v>0</v>
      </c>
      <c r="AI40" s="448">
        <f t="shared" si="22"/>
        <v>0</v>
      </c>
      <c r="AJ40" s="439">
        <f t="shared" si="23"/>
        <v>0</v>
      </c>
      <c r="AK40" s="547">
        <f>(AI40*係数!$C$30+AJ40*VLOOKUP($D$10,係数!$B$3:$C$30,2,FALSE))*0.0000258</f>
        <v>0</v>
      </c>
      <c r="AL40" s="547">
        <f t="shared" si="24"/>
        <v>0</v>
      </c>
      <c r="AM40" s="611"/>
      <c r="AN40" s="569">
        <f t="shared" si="1"/>
        <v>0</v>
      </c>
      <c r="AO40" s="569">
        <f t="shared" si="2"/>
        <v>0</v>
      </c>
      <c r="AP40" s="569">
        <f t="shared" si="3"/>
        <v>0</v>
      </c>
      <c r="AQ40" s="569">
        <f t="shared" si="12"/>
        <v>0</v>
      </c>
      <c r="AR40" s="569">
        <f t="shared" si="13"/>
        <v>0</v>
      </c>
      <c r="AS40" s="569">
        <f t="shared" si="14"/>
        <v>0</v>
      </c>
      <c r="AT40" s="584">
        <f>IF(U40&lt;&gt;0,(AP40*係数!$H$30+IF($D$10="都市ガス",AQ40*$Z$4,AQ40/0.458*$Z$6)*AN40+AR40*係数!$H$30+IF($D$10="都市ガス",AS40*$Z$4,AS40/0.458*$Z$6)*AO40)/U40,0)</f>
        <v>0</v>
      </c>
      <c r="AU40" s="569">
        <f t="shared" si="4"/>
        <v>0</v>
      </c>
      <c r="AV40" s="569">
        <f t="shared" si="5"/>
        <v>0</v>
      </c>
      <c r="AW40" s="569">
        <f t="shared" si="15"/>
        <v>0</v>
      </c>
      <c r="AX40" s="569">
        <f t="shared" si="16"/>
        <v>0</v>
      </c>
      <c r="AY40" s="569">
        <f t="shared" si="17"/>
        <v>0</v>
      </c>
      <c r="AZ40" s="569">
        <f t="shared" si="18"/>
        <v>0</v>
      </c>
      <c r="BA40" s="586">
        <f>IF(AH40&lt;&gt;0,(AW40*係数!$H$30+IF($D$10="都市ガス",AX40*$Z$4,AX40/0.458*$Z$6)*AU40+AY40*係数!$H$30+IF($D$10="都市ガス",AZ40*$Z$4,AZ40/0.458*$Z$6)*AV40)/AH40,0)</f>
        <v>0</v>
      </c>
    </row>
    <row r="41" spans="2:53" x14ac:dyDescent="0.55000000000000004">
      <c r="B41" s="194" t="s">
        <v>70</v>
      </c>
      <c r="C41" s="25"/>
      <c r="D41" s="25"/>
      <c r="E41" s="6"/>
      <c r="F41" s="427">
        <f t="shared" si="6"/>
        <v>1</v>
      </c>
      <c r="G41" s="129"/>
      <c r="H41" s="164"/>
      <c r="I41" s="164"/>
      <c r="J41" s="503"/>
      <c r="K41" s="503"/>
      <c r="L41" s="504">
        <f t="shared" si="7"/>
        <v>0</v>
      </c>
      <c r="M41" s="129"/>
      <c r="N41" s="164"/>
      <c r="O41" s="164"/>
      <c r="P41" s="503"/>
      <c r="Q41" s="503"/>
      <c r="R41" s="504">
        <f t="shared" si="8"/>
        <v>0</v>
      </c>
      <c r="S41" s="20">
        <f t="shared" si="9"/>
        <v>0</v>
      </c>
      <c r="T41" s="41">
        <f t="shared" si="19"/>
        <v>0</v>
      </c>
      <c r="U41" s="93">
        <f>S41*係数!$H$30+IF($D$10="都市ガス",T41*$Z$4,T41/0.458*$Z$6)</f>
        <v>0</v>
      </c>
      <c r="V41" s="25"/>
      <c r="W41" s="6"/>
      <c r="X41" s="129"/>
      <c r="Y41" s="140"/>
      <c r="Z41" s="164"/>
      <c r="AA41" s="428">
        <f t="shared" si="10"/>
        <v>0</v>
      </c>
      <c r="AB41" s="129"/>
      <c r="AC41" s="140"/>
      <c r="AD41" s="164"/>
      <c r="AE41" s="36">
        <f t="shared" si="11"/>
        <v>0</v>
      </c>
      <c r="AF41" s="24">
        <f t="shared" si="20"/>
        <v>0</v>
      </c>
      <c r="AG41" s="618">
        <f t="shared" si="21"/>
        <v>0</v>
      </c>
      <c r="AH41" s="93">
        <f>AF41*係数!$H$30+IF($D$10="都市ガス",AG41*$Z$4,AG41/0.458*$Z$6)</f>
        <v>0</v>
      </c>
      <c r="AI41" s="448">
        <f t="shared" si="22"/>
        <v>0</v>
      </c>
      <c r="AJ41" s="439">
        <f t="shared" si="23"/>
        <v>0</v>
      </c>
      <c r="AK41" s="547">
        <f>(AI41*係数!$C$30+AJ41*VLOOKUP($D$10,係数!$B$3:$C$30,2,FALSE))*0.0000258</f>
        <v>0</v>
      </c>
      <c r="AL41" s="547">
        <f t="shared" si="24"/>
        <v>0</v>
      </c>
      <c r="AM41" s="611"/>
      <c r="AN41" s="569">
        <f t="shared" si="1"/>
        <v>0</v>
      </c>
      <c r="AO41" s="569">
        <f t="shared" si="2"/>
        <v>0</v>
      </c>
      <c r="AP41" s="569">
        <f t="shared" si="3"/>
        <v>0</v>
      </c>
      <c r="AQ41" s="569">
        <f t="shared" si="12"/>
        <v>0</v>
      </c>
      <c r="AR41" s="569">
        <f t="shared" si="13"/>
        <v>0</v>
      </c>
      <c r="AS41" s="569">
        <f t="shared" si="14"/>
        <v>0</v>
      </c>
      <c r="AT41" s="584">
        <f>IF(U41&lt;&gt;0,(AP41*係数!$H$30+IF($D$10="都市ガス",AQ41*$Z$4,AQ41/0.458*$Z$6)*AN41+AR41*係数!$H$30+IF($D$10="都市ガス",AS41*$Z$4,AS41/0.458*$Z$6)*AO41)/U41,0)</f>
        <v>0</v>
      </c>
      <c r="AU41" s="569">
        <f t="shared" si="4"/>
        <v>0</v>
      </c>
      <c r="AV41" s="569">
        <f t="shared" si="5"/>
        <v>0</v>
      </c>
      <c r="AW41" s="569">
        <f t="shared" si="15"/>
        <v>0</v>
      </c>
      <c r="AX41" s="569">
        <f t="shared" si="16"/>
        <v>0</v>
      </c>
      <c r="AY41" s="569">
        <f t="shared" si="17"/>
        <v>0</v>
      </c>
      <c r="AZ41" s="569">
        <f t="shared" si="18"/>
        <v>0</v>
      </c>
      <c r="BA41" s="586">
        <f>IF(AH41&lt;&gt;0,(AW41*係数!$H$30+IF($D$10="都市ガス",AX41*$Z$4,AX41/0.458*$Z$6)*AU41+AY41*係数!$H$30+IF($D$10="都市ガス",AZ41*$Z$4,AZ41/0.458*$Z$6)*AV41)/AH41,0)</f>
        <v>0</v>
      </c>
    </row>
    <row r="42" spans="2:53" x14ac:dyDescent="0.55000000000000004">
      <c r="B42" s="194" t="s">
        <v>71</v>
      </c>
      <c r="C42" s="25"/>
      <c r="D42" s="25"/>
      <c r="E42" s="6"/>
      <c r="F42" s="427">
        <f t="shared" si="6"/>
        <v>1</v>
      </c>
      <c r="G42" s="129"/>
      <c r="H42" s="164"/>
      <c r="I42" s="164"/>
      <c r="J42" s="503"/>
      <c r="K42" s="503"/>
      <c r="L42" s="504">
        <f t="shared" si="7"/>
        <v>0</v>
      </c>
      <c r="M42" s="129"/>
      <c r="N42" s="164"/>
      <c r="O42" s="164"/>
      <c r="P42" s="503"/>
      <c r="Q42" s="503"/>
      <c r="R42" s="504">
        <f t="shared" si="8"/>
        <v>0</v>
      </c>
      <c r="S42" s="20">
        <f t="shared" si="9"/>
        <v>0</v>
      </c>
      <c r="T42" s="41">
        <f t="shared" si="19"/>
        <v>0</v>
      </c>
      <c r="U42" s="93">
        <f>S42*係数!$H$30+IF($D$10="都市ガス",T42*$Z$4,T42/0.458*$Z$6)</f>
        <v>0</v>
      </c>
      <c r="V42" s="25"/>
      <c r="W42" s="6"/>
      <c r="X42" s="129"/>
      <c r="Y42" s="140"/>
      <c r="Z42" s="164"/>
      <c r="AA42" s="428">
        <f t="shared" si="10"/>
        <v>0</v>
      </c>
      <c r="AB42" s="129"/>
      <c r="AC42" s="140"/>
      <c r="AD42" s="164"/>
      <c r="AE42" s="36">
        <f t="shared" si="11"/>
        <v>0</v>
      </c>
      <c r="AF42" s="24">
        <f t="shared" si="20"/>
        <v>0</v>
      </c>
      <c r="AG42" s="618">
        <f t="shared" si="21"/>
        <v>0</v>
      </c>
      <c r="AH42" s="93">
        <f>AF42*係数!$H$30+IF($D$10="都市ガス",AG42*$Z$4,AG42/0.458*$Z$6)</f>
        <v>0</v>
      </c>
      <c r="AI42" s="448">
        <f t="shared" si="22"/>
        <v>0</v>
      </c>
      <c r="AJ42" s="439">
        <f t="shared" si="23"/>
        <v>0</v>
      </c>
      <c r="AK42" s="547">
        <f>(AI42*係数!$C$30+AJ42*VLOOKUP($D$10,係数!$B$3:$C$30,2,FALSE))*0.0000258</f>
        <v>0</v>
      </c>
      <c r="AL42" s="547">
        <f t="shared" si="24"/>
        <v>0</v>
      </c>
      <c r="AM42" s="611"/>
      <c r="AN42" s="569">
        <f t="shared" si="1"/>
        <v>0</v>
      </c>
      <c r="AO42" s="569">
        <f t="shared" si="2"/>
        <v>0</v>
      </c>
      <c r="AP42" s="569">
        <f t="shared" si="3"/>
        <v>0</v>
      </c>
      <c r="AQ42" s="569">
        <f t="shared" si="12"/>
        <v>0</v>
      </c>
      <c r="AR42" s="569">
        <f t="shared" si="13"/>
        <v>0</v>
      </c>
      <c r="AS42" s="569">
        <f t="shared" si="14"/>
        <v>0</v>
      </c>
      <c r="AT42" s="584">
        <f>IF(U42&lt;&gt;0,(AP42*係数!$H$30+IF($D$10="都市ガス",AQ42*$Z$4,AQ42/0.458*$Z$6)*AN42+AR42*係数!$H$30+IF($D$10="都市ガス",AS42*$Z$4,AS42/0.458*$Z$6)*AO42)/U42,0)</f>
        <v>0</v>
      </c>
      <c r="AU42" s="569">
        <f t="shared" si="4"/>
        <v>0</v>
      </c>
      <c r="AV42" s="569">
        <f t="shared" si="5"/>
        <v>0</v>
      </c>
      <c r="AW42" s="569">
        <f t="shared" si="15"/>
        <v>0</v>
      </c>
      <c r="AX42" s="569">
        <f t="shared" si="16"/>
        <v>0</v>
      </c>
      <c r="AY42" s="569">
        <f t="shared" si="17"/>
        <v>0</v>
      </c>
      <c r="AZ42" s="569">
        <f t="shared" si="18"/>
        <v>0</v>
      </c>
      <c r="BA42" s="586">
        <f>IF(AH42&lt;&gt;0,(AW42*係数!$H$30+IF($D$10="都市ガス",AX42*$Z$4,AX42/0.458*$Z$6)*AU42+AY42*係数!$H$30+IF($D$10="都市ガス",AZ42*$Z$4,AZ42/0.458*$Z$6)*AV42)/AH42,0)</f>
        <v>0</v>
      </c>
    </row>
    <row r="43" spans="2:53" x14ac:dyDescent="0.55000000000000004">
      <c r="L43" s="165"/>
      <c r="M43" s="165"/>
    </row>
  </sheetData>
  <sheetProtection password="CC4B" sheet="1" formatCells="0" formatColumns="0" formatRows="0"/>
  <mergeCells count="23">
    <mergeCell ref="W3:X3"/>
    <mergeCell ref="B17:B19"/>
    <mergeCell ref="M6:U6"/>
    <mergeCell ref="Q7:U8"/>
    <mergeCell ref="M8:N8"/>
    <mergeCell ref="M7:N7"/>
    <mergeCell ref="M3:U3"/>
    <mergeCell ref="M4:U4"/>
    <mergeCell ref="H9:I9"/>
    <mergeCell ref="H10:I10"/>
    <mergeCell ref="D3:E3"/>
    <mergeCell ref="D4:E4"/>
    <mergeCell ref="D5:E5"/>
    <mergeCell ref="D6:E6"/>
    <mergeCell ref="D7:E7"/>
    <mergeCell ref="D8:E8"/>
    <mergeCell ref="AI17:AL18"/>
    <mergeCell ref="W4:W5"/>
    <mergeCell ref="W7:X7"/>
    <mergeCell ref="AN17:AT18"/>
    <mergeCell ref="AU17:BA18"/>
    <mergeCell ref="AN14:AT14"/>
    <mergeCell ref="AN15:AT15"/>
  </mergeCells>
  <phoneticPr fontId="5"/>
  <conditionalFormatting sqref="D10:D15">
    <cfRule type="expression" dxfId="63" priority="10">
      <formula>$D$1="なし"</formula>
    </cfRule>
  </conditionalFormatting>
  <conditionalFormatting sqref="AJ23:AK42">
    <cfRule type="expression" dxfId="62" priority="9">
      <formula>$D$1="なし"</formula>
    </cfRule>
  </conditionalFormatting>
  <conditionalFormatting sqref="AL23:AM42 C14:C15 E10:E15 G7:H8 J4:J8 C23:AI42 AN21:AN42 AO23:AS42">
    <cfRule type="expression" dxfId="61" priority="11">
      <formula>$F$1="なし"</formula>
    </cfRule>
  </conditionalFormatting>
  <conditionalFormatting sqref="X22">
    <cfRule type="cellIs" dxfId="60" priority="8" operator="greaterThan">
      <formula>$G$22</formula>
    </cfRule>
  </conditionalFormatting>
  <conditionalFormatting sqref="AB22">
    <cfRule type="cellIs" dxfId="59" priority="7" operator="greaterThan">
      <formula>$M$22</formula>
    </cfRule>
  </conditionalFormatting>
  <conditionalFormatting sqref="Q7:U8">
    <cfRule type="cellIs" dxfId="58" priority="6" operator="notEqual">
      <formula>"ー"</formula>
    </cfRule>
  </conditionalFormatting>
  <conditionalFormatting sqref="AO21:AS22">
    <cfRule type="expression" dxfId="57" priority="4">
      <formula>$F$1="なし"</formula>
    </cfRule>
  </conditionalFormatting>
  <conditionalFormatting sqref="AU23:AU42">
    <cfRule type="expression" dxfId="56" priority="3">
      <formula>$F$1="なし"</formula>
    </cfRule>
  </conditionalFormatting>
  <conditionalFormatting sqref="AV23:AZ42">
    <cfRule type="expression" dxfId="55" priority="2">
      <formula>$F$1="なし"</formula>
    </cfRule>
  </conditionalFormatting>
  <conditionalFormatting sqref="BA23:BA42">
    <cfRule type="expression" dxfId="54" priority="1">
      <formula>$F$1="なし"</formula>
    </cfRule>
  </conditionalFormatting>
  <dataValidations count="4">
    <dataValidation type="list" allowBlank="1" showInputMessage="1" showErrorMessage="1" sqref="D10">
      <formula1>"都市ガス,液化石油ガス（LPG）"</formula1>
    </dataValidation>
    <dataValidation type="list" allowBlank="1" showInputMessage="1" showErrorMessage="1" sqref="E10">
      <formula1>"13A,12A,LP"</formula1>
    </dataValidation>
    <dataValidation type="whole" errorStyle="warning" allowBlank="1" showInputMessage="1" showErrorMessage="1" errorTitle="台数の増減" sqref="W21">
      <formula1>0</formula1>
      <formula2>E21</formula2>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4:C15">
      <formula1>0.4</formula1>
    </dataValidation>
  </dataValidations>
  <pageMargins left="0.70866141732283472" right="0.70866141732283472" top="0.74803149606299213" bottom="0.74803149606299213" header="0.31496062992125984" footer="0.31496062992125984"/>
  <pageSetup paperSize="9" scale="28" fitToHeight="0" orientation="landscape" r:id="rId1"/>
  <ignoredErrors>
    <ignoredError sqref="I7:J7 AE22 S22 AA22:AD22 U22:W22 AG22:AL22" formula="1"/>
    <ignoredError sqref="L23:L42 AQ21:AS21 AW21:AZ2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view="pageBreakPreview" topLeftCell="A7" zoomScaleNormal="55" zoomScaleSheetLayoutView="100" workbookViewId="0">
      <selection activeCell="C23" sqref="C23"/>
    </sheetView>
  </sheetViews>
  <sheetFormatPr defaultColWidth="8.83203125" defaultRowHeight="18" x14ac:dyDescent="0.55000000000000004"/>
  <cols>
    <col min="1" max="1" width="11.08203125" style="27" customWidth="1"/>
    <col min="2" max="2" width="9.1640625" style="27" customWidth="1"/>
    <col min="3" max="15" width="11.33203125" style="27" customWidth="1"/>
    <col min="16" max="16" width="11.08203125" style="27" customWidth="1"/>
    <col min="17" max="17" width="11.33203125" style="27" customWidth="1"/>
    <col min="18" max="21" width="9.1640625" style="27" customWidth="1"/>
    <col min="22" max="27" width="11.33203125" style="27" customWidth="1"/>
    <col min="28" max="45" width="9.1640625" style="27" customWidth="1"/>
    <col min="46" max="16384" width="8.83203125" style="27"/>
  </cols>
  <sheetData>
    <row r="1" spans="1:27" ht="29" x14ac:dyDescent="0.85">
      <c r="A1" s="26" t="s">
        <v>531</v>
      </c>
      <c r="D1"/>
      <c r="F1" s="292"/>
      <c r="G1" s="285"/>
      <c r="H1" s="292"/>
      <c r="I1" s="296"/>
      <c r="J1" s="292"/>
      <c r="K1" s="292"/>
      <c r="L1" s="297"/>
      <c r="M1" s="292"/>
      <c r="N1" s="37"/>
    </row>
    <row r="3" spans="1:27" ht="20.399999999999999" customHeight="1" x14ac:dyDescent="0.55000000000000004">
      <c r="D3" s="680" t="s">
        <v>22</v>
      </c>
      <c r="E3" s="681"/>
      <c r="F3" s="167" t="s">
        <v>23</v>
      </c>
      <c r="G3" s="526" t="s">
        <v>24</v>
      </c>
      <c r="H3" s="526" t="s">
        <v>25</v>
      </c>
      <c r="I3" s="526" t="s">
        <v>26</v>
      </c>
      <c r="J3" s="180" t="s">
        <v>27</v>
      </c>
      <c r="M3" s="635" t="s">
        <v>440</v>
      </c>
      <c r="N3" s="636"/>
      <c r="O3" s="636"/>
      <c r="P3" s="636"/>
      <c r="Q3" s="636"/>
      <c r="R3" s="636"/>
      <c r="S3" s="636"/>
      <c r="T3" s="636"/>
      <c r="U3" s="637"/>
      <c r="W3" s="684" t="s">
        <v>22</v>
      </c>
      <c r="X3" s="685"/>
      <c r="Y3" s="197" t="s">
        <v>125</v>
      </c>
      <c r="Z3" s="450" t="s">
        <v>524</v>
      </c>
      <c r="AA3" s="451" t="s">
        <v>23</v>
      </c>
    </row>
    <row r="4" spans="1:27" ht="20.399999999999999" customHeight="1" x14ac:dyDescent="0.55000000000000004">
      <c r="D4" s="682" t="s">
        <v>103</v>
      </c>
      <c r="E4" s="683"/>
      <c r="F4" s="522" t="s">
        <v>21</v>
      </c>
      <c r="G4" s="122">
        <f>S22</f>
        <v>0</v>
      </c>
      <c r="H4" s="122">
        <f>G4-I4</f>
        <v>0</v>
      </c>
      <c r="I4" s="122">
        <f>AB22</f>
        <v>0</v>
      </c>
      <c r="J4" s="22">
        <f>IF(OR(G4=0,I4=0),0,I4/G4)</f>
        <v>0</v>
      </c>
      <c r="M4" s="657"/>
      <c r="N4" s="658"/>
      <c r="O4" s="658"/>
      <c r="P4" s="658"/>
      <c r="Q4" s="658"/>
      <c r="R4" s="658"/>
      <c r="S4" s="658"/>
      <c r="T4" s="658"/>
      <c r="U4" s="659"/>
      <c r="V4" s="34"/>
      <c r="W4" s="656" t="s">
        <v>11</v>
      </c>
      <c r="X4" s="197" t="s">
        <v>126</v>
      </c>
      <c r="Y4" s="33">
        <v>11000</v>
      </c>
      <c r="Z4" s="581">
        <f>係数!$H$25</f>
        <v>2.2440000000000003E-3</v>
      </c>
      <c r="AA4" s="24" t="s">
        <v>127</v>
      </c>
    </row>
    <row r="5" spans="1:27" ht="20.399999999999999" customHeight="1" x14ac:dyDescent="0.55000000000000004">
      <c r="D5" s="684" t="s">
        <v>129</v>
      </c>
      <c r="E5" s="685"/>
      <c r="F5" s="522" t="s">
        <v>130</v>
      </c>
      <c r="G5" s="121">
        <f>T22</f>
        <v>0</v>
      </c>
      <c r="H5" s="122">
        <f>G5-I5</f>
        <v>0</v>
      </c>
      <c r="I5" s="122">
        <f>AC22</f>
        <v>0</v>
      </c>
      <c r="J5" s="22">
        <f>IF(OR(G5=0,I5=0),0,I5/G5)</f>
        <v>0</v>
      </c>
      <c r="M5" s="76"/>
      <c r="V5" s="34"/>
      <c r="W5" s="656"/>
      <c r="X5" s="197" t="s">
        <v>128</v>
      </c>
      <c r="Y5" s="33">
        <v>10000</v>
      </c>
      <c r="Z5" s="581">
        <f>係数!$H$25</f>
        <v>2.2440000000000003E-3</v>
      </c>
      <c r="AA5" s="24" t="s">
        <v>127</v>
      </c>
    </row>
    <row r="6" spans="1:27" ht="20.399999999999999" customHeight="1" x14ac:dyDescent="0.55000000000000004">
      <c r="D6" s="682" t="s">
        <v>104</v>
      </c>
      <c r="E6" s="683"/>
      <c r="F6" s="195" t="s">
        <v>9</v>
      </c>
      <c r="G6" s="119">
        <f>U22</f>
        <v>0</v>
      </c>
      <c r="H6" s="119">
        <f>G6-I6</f>
        <v>0</v>
      </c>
      <c r="I6" s="166">
        <f>AE22</f>
        <v>0</v>
      </c>
      <c r="J6" s="22">
        <f>IF(OR(G6=0,I6=0),0,I6/G6)</f>
        <v>0</v>
      </c>
      <c r="M6" s="670" t="s">
        <v>436</v>
      </c>
      <c r="N6" s="670"/>
      <c r="O6" s="670"/>
      <c r="P6" s="670"/>
      <c r="Q6" s="670"/>
      <c r="R6" s="670"/>
      <c r="S6" s="670"/>
      <c r="T6" s="670"/>
      <c r="U6" s="670"/>
      <c r="V6" s="34"/>
      <c r="W6" s="197" t="s">
        <v>527</v>
      </c>
      <c r="X6" s="197" t="s">
        <v>131</v>
      </c>
      <c r="Y6" s="452">
        <v>24000</v>
      </c>
      <c r="Z6" s="582">
        <f>係数!$H$13</f>
        <v>2.998893333333333E-3</v>
      </c>
      <c r="AA6" s="36" t="s">
        <v>132</v>
      </c>
    </row>
    <row r="7" spans="1:27" x14ac:dyDescent="0.55000000000000004">
      <c r="D7" s="682" t="s">
        <v>3</v>
      </c>
      <c r="E7" s="683"/>
      <c r="F7" s="522" t="s">
        <v>30</v>
      </c>
      <c r="G7" s="304" t="str">
        <f>IF(使用量と光熱費!$I$6=0,"ー",G5*使用量と光熱費!$I$6)</f>
        <v>ー</v>
      </c>
      <c r="H7" s="304" t="str">
        <f>IF(使用量と光熱費!$I$6=0,"ー",H5*使用量と光熱費!$I$6)</f>
        <v>ー</v>
      </c>
      <c r="I7" s="305" t="str">
        <f>IF(OR(G7="ー",H7="ー"),"ー",G7-H7)</f>
        <v>ー</v>
      </c>
      <c r="J7" s="294" t="str">
        <f>IF(OR(G7="ー",I7="ー"),"ー",I7/G7)</f>
        <v>ー</v>
      </c>
      <c r="M7" s="684" t="s">
        <v>22</v>
      </c>
      <c r="N7" s="685"/>
      <c r="O7" s="522" t="s">
        <v>106</v>
      </c>
      <c r="P7" s="522" t="s">
        <v>107</v>
      </c>
      <c r="Q7" s="660" t="str">
        <f>IF(OR(OR(O8="",P8=""),AND(O8="なし",P8="なし")),"ー",IF(COUNTIF(O8:P8,"増加")&gt;0,"やむを得ず増加する場合は特記事項欄に理由を記載してください。(要根拠資料提出)","減少する理由を特記事項欄に記載してください。"))</f>
        <v>ー</v>
      </c>
      <c r="R7" s="661"/>
      <c r="S7" s="661"/>
      <c r="T7" s="661"/>
      <c r="U7" s="662"/>
      <c r="W7" s="684" t="s">
        <v>442</v>
      </c>
      <c r="X7" s="685"/>
      <c r="Y7" s="33">
        <f>IF(E10="","",VLOOKUP($E$10,$X$4:$Z$6,2,FALSE))</f>
        <v>11000</v>
      </c>
      <c r="Z7" s="449"/>
      <c r="AA7" s="33" t="s">
        <v>1034</v>
      </c>
    </row>
    <row r="8" spans="1:27" x14ac:dyDescent="0.55000000000000004">
      <c r="D8" s="682" t="s">
        <v>31</v>
      </c>
      <c r="E8" s="683"/>
      <c r="F8" s="522" t="s">
        <v>32</v>
      </c>
      <c r="G8" s="120">
        <f>(G4*係数!$C$30+G5*係数!$C$25)*0.0000258</f>
        <v>0</v>
      </c>
      <c r="H8" s="120">
        <f>(H4*係数!$C$30+H5*係数!$C$25)*0.0000258</f>
        <v>0</v>
      </c>
      <c r="I8" s="166">
        <f>G8-H8</f>
        <v>0</v>
      </c>
      <c r="J8" s="22">
        <f>IF(OR(G8=0,I8=0),0,I8/G8)</f>
        <v>0</v>
      </c>
      <c r="M8" s="666" t="s">
        <v>274</v>
      </c>
      <c r="N8" s="667"/>
      <c r="O8" s="525" t="str">
        <f>IF(OR(G22=0,X22=0),"",IF(G22=X22,"なし",IF(G22&gt;X22,"減少","増加")))</f>
        <v/>
      </c>
      <c r="P8" s="525" t="str">
        <f>IF(OR(M22=0,Y22=0),"",IF(M22=Y22,"なし",IF(M22&gt;Y22,"減少","増加")))</f>
        <v/>
      </c>
      <c r="Q8" s="663"/>
      <c r="R8" s="664"/>
      <c r="S8" s="664"/>
      <c r="T8" s="664"/>
      <c r="U8" s="665"/>
    </row>
    <row r="9" spans="1:27" x14ac:dyDescent="0.55000000000000004">
      <c r="D9" s="197" t="s">
        <v>133</v>
      </c>
      <c r="E9" s="197" t="s">
        <v>134</v>
      </c>
      <c r="F9" s="524" t="s">
        <v>135</v>
      </c>
      <c r="G9" s="214"/>
      <c r="H9" s="670" t="s">
        <v>136</v>
      </c>
      <c r="I9" s="670"/>
      <c r="J9" s="194" t="s">
        <v>137</v>
      </c>
      <c r="M9" s="82"/>
      <c r="N9" s="82"/>
      <c r="O9" s="82"/>
      <c r="P9" s="84"/>
      <c r="Q9" s="82"/>
      <c r="R9" s="82"/>
      <c r="S9" s="82"/>
      <c r="T9" s="82"/>
      <c r="U9" s="82"/>
    </row>
    <row r="10" spans="1:27" x14ac:dyDescent="0.55000000000000004">
      <c r="A10" s="37"/>
      <c r="D10" s="46" t="s">
        <v>913</v>
      </c>
      <c r="E10" s="38" t="s">
        <v>914</v>
      </c>
      <c r="F10" s="24">
        <f>IF(D10="","",VLOOKUP(D10,係数!$B$3:$I$30,7,FALSE))</f>
        <v>2.2440000000000003E-3</v>
      </c>
      <c r="G10" s="24" t="str">
        <f>IF(D10="","",VLOOKUP(D10,係数!$B$3:$I$30,8,FALSE))</f>
        <v>tCO2/㎥</v>
      </c>
      <c r="H10" s="688">
        <f>IF(Y7="","",Y7)</f>
        <v>11000</v>
      </c>
      <c r="I10" s="688"/>
      <c r="J10" s="24">
        <f>IF(E10="LP",使用量と光熱費!I8,使用量と光熱費!I7)</f>
        <v>0</v>
      </c>
    </row>
    <row r="11" spans="1:27" s="82" customFormat="1" x14ac:dyDescent="0.55000000000000004">
      <c r="A11" s="37"/>
      <c r="B11" s="84"/>
      <c r="D11" s="81"/>
      <c r="E11" s="81"/>
      <c r="F11" s="37"/>
      <c r="G11" s="37"/>
      <c r="H11" s="83"/>
      <c r="I11" s="83"/>
      <c r="J11" s="37"/>
    </row>
    <row r="12" spans="1:27" s="82" customFormat="1" x14ac:dyDescent="0.55000000000000004">
      <c r="A12" s="37"/>
      <c r="B12" s="85"/>
      <c r="D12" s="81"/>
      <c r="E12" s="81"/>
      <c r="F12" s="37"/>
      <c r="G12" s="37"/>
      <c r="H12" s="83"/>
      <c r="I12" s="83"/>
      <c r="J12" s="37"/>
    </row>
    <row r="13" spans="1:27" s="82" customFormat="1" x14ac:dyDescent="0.55000000000000004">
      <c r="A13" s="37"/>
      <c r="B13" s="523"/>
      <c r="C13" s="523" t="s">
        <v>102</v>
      </c>
      <c r="D13" s="81"/>
      <c r="E13" s="81"/>
      <c r="F13" s="37"/>
      <c r="G13" s="37"/>
      <c r="H13" s="83"/>
      <c r="I13" s="83"/>
      <c r="J13" s="37"/>
    </row>
    <row r="14" spans="1:27" s="82" customFormat="1" ht="20" x14ac:dyDescent="0.65">
      <c r="A14" s="37"/>
      <c r="B14" s="194" t="s">
        <v>438</v>
      </c>
      <c r="C14" s="28">
        <v>0.4</v>
      </c>
      <c r="D14" s="81"/>
      <c r="E14" s="81"/>
      <c r="F14" s="37"/>
      <c r="G14" s="37"/>
      <c r="H14" s="83"/>
      <c r="I14" s="83"/>
      <c r="J14" s="37"/>
    </row>
    <row r="15" spans="1:27" s="82" customFormat="1" ht="20" x14ac:dyDescent="0.65">
      <c r="A15" s="37"/>
      <c r="B15" s="194" t="s">
        <v>464</v>
      </c>
      <c r="C15" s="28">
        <v>0.4</v>
      </c>
      <c r="D15" s="81"/>
      <c r="E15" s="81"/>
      <c r="F15" s="37"/>
      <c r="G15" s="37"/>
      <c r="H15" s="83"/>
      <c r="I15" s="83"/>
      <c r="J15" s="37"/>
      <c r="P15" s="84"/>
    </row>
    <row r="16" spans="1:27" x14ac:dyDescent="0.55000000000000004">
      <c r="A16" s="27" t="s">
        <v>33</v>
      </c>
    </row>
    <row r="17" spans="2:34" x14ac:dyDescent="0.55000000000000004">
      <c r="B17" s="677" t="s">
        <v>22</v>
      </c>
      <c r="C17" s="229" t="s">
        <v>24</v>
      </c>
      <c r="D17" s="217"/>
      <c r="E17" s="217"/>
      <c r="F17" s="217"/>
      <c r="G17" s="217"/>
      <c r="H17" s="217"/>
      <c r="I17" s="217"/>
      <c r="J17" s="217"/>
      <c r="K17" s="217"/>
      <c r="L17" s="217"/>
      <c r="M17" s="217"/>
      <c r="N17" s="217"/>
      <c r="O17" s="217"/>
      <c r="P17" s="217"/>
      <c r="Q17" s="217"/>
      <c r="R17" s="217"/>
      <c r="S17" s="217"/>
      <c r="T17" s="217"/>
      <c r="U17" s="214"/>
      <c r="V17" s="218" t="s">
        <v>105</v>
      </c>
      <c r="W17" s="230"/>
      <c r="X17" s="230"/>
      <c r="Y17" s="219"/>
      <c r="Z17" s="217"/>
      <c r="AA17" s="219"/>
      <c r="AB17" s="671" t="s">
        <v>34</v>
      </c>
      <c r="AC17" s="672"/>
      <c r="AD17" s="672"/>
      <c r="AE17" s="673"/>
      <c r="AF17" s="289" t="s">
        <v>1050</v>
      </c>
      <c r="AG17" s="288"/>
      <c r="AH17" s="214"/>
    </row>
    <row r="18" spans="2:34" x14ac:dyDescent="0.55000000000000004">
      <c r="B18" s="678"/>
      <c r="C18" s="220"/>
      <c r="D18" s="221"/>
      <c r="E18" s="231"/>
      <c r="F18" s="214"/>
      <c r="G18" s="224" t="s">
        <v>106</v>
      </c>
      <c r="H18" s="196"/>
      <c r="I18" s="219"/>
      <c r="J18" s="219"/>
      <c r="K18" s="219"/>
      <c r="L18" s="219"/>
      <c r="M18" s="224" t="s">
        <v>107</v>
      </c>
      <c r="N18" s="196"/>
      <c r="O18" s="219"/>
      <c r="P18" s="219"/>
      <c r="Q18" s="219"/>
      <c r="R18" s="219"/>
      <c r="S18" s="198" t="s">
        <v>108</v>
      </c>
      <c r="T18" s="219"/>
      <c r="U18" s="200"/>
      <c r="V18" s="220"/>
      <c r="W18" s="221"/>
      <c r="X18" s="224" t="s">
        <v>106</v>
      </c>
      <c r="Y18" s="224" t="s">
        <v>107</v>
      </c>
      <c r="Z18" s="198" t="s">
        <v>923</v>
      </c>
      <c r="AA18" s="219"/>
      <c r="AB18" s="674"/>
      <c r="AC18" s="675"/>
      <c r="AD18" s="675"/>
      <c r="AE18" s="676"/>
      <c r="AF18" s="289" t="s">
        <v>1051</v>
      </c>
      <c r="AG18" s="288"/>
      <c r="AH18" s="214"/>
    </row>
    <row r="19" spans="2:34" ht="54" x14ac:dyDescent="0.55000000000000004">
      <c r="B19" s="679"/>
      <c r="C19" s="471" t="s">
        <v>909</v>
      </c>
      <c r="D19" s="471" t="s">
        <v>908</v>
      </c>
      <c r="E19" s="472" t="s">
        <v>110</v>
      </c>
      <c r="F19" s="471" t="s">
        <v>502</v>
      </c>
      <c r="G19" s="471" t="s">
        <v>903</v>
      </c>
      <c r="H19" s="471" t="s">
        <v>904</v>
      </c>
      <c r="I19" s="471" t="s">
        <v>910</v>
      </c>
      <c r="J19" s="471" t="s">
        <v>911</v>
      </c>
      <c r="K19" s="471" t="s">
        <v>912</v>
      </c>
      <c r="L19" s="472" t="s">
        <v>905</v>
      </c>
      <c r="M19" s="472" t="s">
        <v>903</v>
      </c>
      <c r="N19" s="471" t="s">
        <v>906</v>
      </c>
      <c r="O19" s="471" t="s">
        <v>915</v>
      </c>
      <c r="P19" s="471" t="s">
        <v>911</v>
      </c>
      <c r="Q19" s="471" t="s">
        <v>912</v>
      </c>
      <c r="R19" s="472" t="s">
        <v>907</v>
      </c>
      <c r="S19" s="472" t="s">
        <v>115</v>
      </c>
      <c r="T19" s="471" t="s">
        <v>140</v>
      </c>
      <c r="U19" s="472" t="s">
        <v>116</v>
      </c>
      <c r="V19" s="471" t="s">
        <v>909</v>
      </c>
      <c r="W19" s="472" t="s">
        <v>117</v>
      </c>
      <c r="X19" s="472" t="s">
        <v>903</v>
      </c>
      <c r="Y19" s="472" t="s">
        <v>903</v>
      </c>
      <c r="Z19" s="472" t="s">
        <v>924</v>
      </c>
      <c r="AA19" s="471" t="s">
        <v>925</v>
      </c>
      <c r="AB19" s="474" t="s">
        <v>1070</v>
      </c>
      <c r="AC19" s="472" t="s">
        <v>1074</v>
      </c>
      <c r="AD19" s="472" t="s">
        <v>1071</v>
      </c>
      <c r="AE19" s="474" t="s">
        <v>1075</v>
      </c>
      <c r="AF19" s="580" t="s">
        <v>1068</v>
      </c>
      <c r="AG19" s="471" t="s">
        <v>1077</v>
      </c>
      <c r="AH19" s="580" t="s">
        <v>1069</v>
      </c>
    </row>
    <row r="20" spans="2:34" x14ac:dyDescent="0.55000000000000004">
      <c r="B20" s="227" t="s">
        <v>23</v>
      </c>
      <c r="C20" s="354"/>
      <c r="D20" s="529" t="s">
        <v>1041</v>
      </c>
      <c r="E20" s="529" t="s">
        <v>48</v>
      </c>
      <c r="F20" s="522"/>
      <c r="G20" s="522" t="s">
        <v>124</v>
      </c>
      <c r="H20" s="522" t="s">
        <v>124</v>
      </c>
      <c r="I20" s="522" t="s">
        <v>124</v>
      </c>
      <c r="J20" s="529" t="s">
        <v>1039</v>
      </c>
      <c r="K20" s="529" t="s">
        <v>1040</v>
      </c>
      <c r="L20" s="522" t="s">
        <v>51</v>
      </c>
      <c r="M20" s="522" t="s">
        <v>124</v>
      </c>
      <c r="N20" s="522" t="s">
        <v>124</v>
      </c>
      <c r="O20" s="522" t="s">
        <v>124</v>
      </c>
      <c r="P20" s="522"/>
      <c r="Q20" s="522"/>
      <c r="R20" s="522" t="s">
        <v>51</v>
      </c>
      <c r="S20" s="522" t="s">
        <v>21</v>
      </c>
      <c r="T20" s="213" t="s">
        <v>130</v>
      </c>
      <c r="U20" s="195" t="s">
        <v>9</v>
      </c>
      <c r="V20" s="194"/>
      <c r="W20" s="522" t="s">
        <v>48</v>
      </c>
      <c r="X20" s="522" t="s">
        <v>124</v>
      </c>
      <c r="Y20" s="522" t="s">
        <v>124</v>
      </c>
      <c r="Z20" s="522" t="s">
        <v>21</v>
      </c>
      <c r="AA20" s="213" t="s">
        <v>130</v>
      </c>
      <c r="AB20" s="522" t="s">
        <v>21</v>
      </c>
      <c r="AC20" s="575" t="s">
        <v>146</v>
      </c>
      <c r="AD20" s="527" t="s">
        <v>928</v>
      </c>
      <c r="AE20" s="195" t="s">
        <v>9</v>
      </c>
      <c r="AF20" s="573" t="s">
        <v>21</v>
      </c>
      <c r="AG20" s="213" t="s">
        <v>130</v>
      </c>
      <c r="AH20" s="195" t="s">
        <v>9</v>
      </c>
    </row>
    <row r="21" spans="2:34" x14ac:dyDescent="0.55000000000000004">
      <c r="B21" s="186" t="s">
        <v>265</v>
      </c>
      <c r="C21" s="261" t="s">
        <v>431</v>
      </c>
      <c r="D21" s="261">
        <v>2010</v>
      </c>
      <c r="E21" s="187">
        <v>2</v>
      </c>
      <c r="F21" s="188">
        <f>IF(D21="",1,MIN(1.5,(2023-D21)*0.05+1))</f>
        <v>1.5</v>
      </c>
      <c r="G21" s="262">
        <v>28</v>
      </c>
      <c r="H21" s="263">
        <v>0.44</v>
      </c>
      <c r="I21" s="263">
        <v>19.2</v>
      </c>
      <c r="J21" s="502">
        <v>10</v>
      </c>
      <c r="K21" s="502">
        <v>122</v>
      </c>
      <c r="L21" s="191">
        <f>J21*K21</f>
        <v>1220</v>
      </c>
      <c r="M21" s="264">
        <v>31.5</v>
      </c>
      <c r="N21" s="263">
        <v>0.57999999999999996</v>
      </c>
      <c r="O21" s="263">
        <v>20.3</v>
      </c>
      <c r="P21" s="502">
        <v>10</v>
      </c>
      <c r="Q21" s="502">
        <v>181</v>
      </c>
      <c r="R21" s="191">
        <f>P21*Q21</f>
        <v>1810</v>
      </c>
      <c r="S21" s="191">
        <f>E21*(H21*L21*$C$14+N21*R21*$C$15)</f>
        <v>1269.28</v>
      </c>
      <c r="T21" s="265">
        <f>E21*(I21*L21*$C$14+O21*R21*$C$15)*860/11000</f>
        <v>3763.1723636363645</v>
      </c>
      <c r="U21" s="192">
        <f>S21*係数!$H$30+IF($D$10="都市ガス",T21*$Z$4,T21/0.458*$Z$6)</f>
        <v>9.0246197440000024</v>
      </c>
      <c r="V21" s="261" t="s">
        <v>430</v>
      </c>
      <c r="W21" s="187">
        <v>2</v>
      </c>
      <c r="X21" s="262">
        <v>28</v>
      </c>
      <c r="Y21" s="264">
        <v>31.5</v>
      </c>
      <c r="Z21" s="628">
        <v>2.0099999999999998</v>
      </c>
      <c r="AA21" s="626">
        <v>2.17</v>
      </c>
      <c r="AB21" s="268">
        <f>IF(AND($Z21&lt;&gt;0,$AA21&lt;&gt;0),$S21*(1-($Z21/$F21)/$AA21),0)</f>
        <v>485.48497695852535</v>
      </c>
      <c r="AC21" s="269">
        <f>IF(AND($Z21&lt;&gt;0,$AA21&lt;&gt;0),$T21*(1-($Z21/$F21)/$AA21),0)</f>
        <v>1439.370074570591</v>
      </c>
      <c r="AD21" s="552">
        <f>(AB21*係数!$C$30+AC21*VLOOKUP($D$10,係数!$B$3:$C$30,2,FALSE))*0.0000258</f>
        <v>1.7959880152595895</v>
      </c>
      <c r="AE21" s="358">
        <f>AB21*係数!$H$30+AC21*係数!$H$25</f>
        <v>3.4518130818064527</v>
      </c>
      <c r="AF21" s="578">
        <f>IF(AND($Z21&lt;&gt;0,$AA21&lt;&gt;0),$S21*(($Z21/$F21)/$AA21),0)</f>
        <v>783.79502304147468</v>
      </c>
      <c r="AG21" s="578">
        <f>IF(AND($Z21&lt;&gt;0,$AA21&lt;&gt;0),$T21*(($Z21/$F21)/$AA21),0)</f>
        <v>2323.8022890657735</v>
      </c>
      <c r="AH21" s="579">
        <f>AF21*係数!$H$30+IF($D$10="都市ガス",AG21*$Z$4,AG21/0.458*$Z$6)</f>
        <v>5.5728066621935506</v>
      </c>
    </row>
    <row r="22" spans="2:34" x14ac:dyDescent="0.55000000000000004">
      <c r="B22" s="457" t="s">
        <v>18</v>
      </c>
      <c r="C22" s="148"/>
      <c r="D22" s="148"/>
      <c r="E22" s="30">
        <f>SUM(E23:E42)</f>
        <v>0</v>
      </c>
      <c r="F22" s="148"/>
      <c r="G22" s="123">
        <f>SUMPRODUCT($E23:$E$42*G$23:G$42)</f>
        <v>0</v>
      </c>
      <c r="H22" s="163">
        <f>SUMPRODUCT($E23:$E$42*H$23:H$42)</f>
        <v>0</v>
      </c>
      <c r="I22" s="163">
        <f>SUMPRODUCT($E23:$E$42*I$23:I$42)</f>
        <v>0</v>
      </c>
      <c r="J22" s="505"/>
      <c r="K22" s="505"/>
      <c r="L22" s="147"/>
      <c r="M22" s="119">
        <f>SUMPRODUCT($E23:$E$42*M$23:M$42)</f>
        <v>0</v>
      </c>
      <c r="N22" s="163">
        <f>SUMPRODUCT($E23:$E$42*N$23:N$42)</f>
        <v>0</v>
      </c>
      <c r="O22" s="163">
        <f>SUMPRODUCT($E23:$E$42*O$23:O$42)</f>
        <v>0</v>
      </c>
      <c r="P22" s="505"/>
      <c r="Q22" s="505"/>
      <c r="R22" s="147"/>
      <c r="S22" s="21">
        <f>SUM(S23:S42)</f>
        <v>0</v>
      </c>
      <c r="T22" s="39">
        <f>SUM(T23:T42)</f>
        <v>0</v>
      </c>
      <c r="U22" s="96">
        <f>SUM(U23:U42)</f>
        <v>0</v>
      </c>
      <c r="V22" s="148"/>
      <c r="W22" s="30">
        <f>SUM(W23:W42)</f>
        <v>0</v>
      </c>
      <c r="X22" s="123">
        <f>SUMPRODUCT($W23:$W$42*X$23:X$42)</f>
        <v>0</v>
      </c>
      <c r="Y22" s="119">
        <f>SUMPRODUCT($W23:$W$42*Y$23:Y$42)</f>
        <v>0</v>
      </c>
      <c r="Z22" s="577">
        <f>IF(U22&lt;&gt;0,SUMPRODUCT($U23:$U$42*Z$23:Z$42)/U22,0)</f>
        <v>0</v>
      </c>
      <c r="AA22" s="577">
        <f>IF(AE22&lt;&gt;0,SUMPRODUCT($AE23:$AE$42*AA$23:AA$42)/AE22,0)</f>
        <v>0</v>
      </c>
      <c r="AB22" s="447">
        <f>SUM(AB23:AB42)</f>
        <v>0</v>
      </c>
      <c r="AC22" s="438">
        <f>SUM(AC23:AC42)</f>
        <v>0</v>
      </c>
      <c r="AD22" s="328">
        <f>SUM(AD23:AD42)</f>
        <v>0</v>
      </c>
      <c r="AE22" s="446">
        <f>SUM(AE23:AE42)</f>
        <v>0</v>
      </c>
      <c r="AF22" s="578">
        <f>S22-AB22</f>
        <v>0</v>
      </c>
      <c r="AG22" s="578">
        <f>T22-AC22</f>
        <v>0</v>
      </c>
      <c r="AH22" s="579">
        <f>AF22*係数!$H$30+IF($D$10="都市ガス",AG22*$Z$4,AG22/0.458*$Z$6)</f>
        <v>0</v>
      </c>
    </row>
    <row r="23" spans="2:34" x14ac:dyDescent="0.55000000000000004">
      <c r="B23" s="227" t="s">
        <v>52</v>
      </c>
      <c r="C23" s="25"/>
      <c r="D23" s="25"/>
      <c r="E23" s="6"/>
      <c r="F23" s="427">
        <f t="shared" ref="F23:F42" si="0">IF(D23="",1,MIN(1.5,(2023-D23)*0.05+1))</f>
        <v>1</v>
      </c>
      <c r="G23" s="129"/>
      <c r="H23" s="164"/>
      <c r="I23" s="164"/>
      <c r="J23" s="503"/>
      <c r="K23" s="503"/>
      <c r="L23" s="87">
        <f t="shared" ref="L23:L42" si="1">J23*K23</f>
        <v>0</v>
      </c>
      <c r="M23" s="131"/>
      <c r="N23" s="164"/>
      <c r="O23" s="164"/>
      <c r="P23" s="503"/>
      <c r="Q23" s="503"/>
      <c r="R23" s="87">
        <f t="shared" ref="R23:R42" si="2">P23*Q23</f>
        <v>0</v>
      </c>
      <c r="S23" s="20">
        <f>E23*(H23*L23*$C$14+N23*R23*$C$15)</f>
        <v>0</v>
      </c>
      <c r="T23" s="41">
        <f>E23*(I23*L23*$C$14+O23*R23*$C$15)*860/11000</f>
        <v>0</v>
      </c>
      <c r="U23" s="93">
        <f>S23*係数!$H$30+IF($D$10="都市ガス",T23*$Z$4,T23/0.458*$Z$6)</f>
        <v>0</v>
      </c>
      <c r="V23" s="25"/>
      <c r="W23" s="6"/>
      <c r="X23" s="129"/>
      <c r="Y23" s="129"/>
      <c r="Z23" s="627"/>
      <c r="AA23" s="627"/>
      <c r="AB23" s="448">
        <f t="shared" ref="AB23:AB42" si="3">IF(AND(Z23&lt;&gt;0,AA23&lt;&gt;0),S23*(1-(Z23/F23)/AA23),0)</f>
        <v>0</v>
      </c>
      <c r="AC23" s="439">
        <f t="shared" ref="AC23:AC42" si="4">IF(AND(Z23&lt;&gt;0,AA23&lt;&gt;0),T23*(1-(Z23/F23)/AA23),0)</f>
        <v>0</v>
      </c>
      <c r="AD23" s="549">
        <f>(AB23*係数!$C$30+AC23*VLOOKUP($D$10,係数!$B$3:$C$30,2,FALSE))*0.0000258</f>
        <v>0</v>
      </c>
      <c r="AE23" s="549">
        <f>AB23*係数!$H$30+AC23*係数!$H$25</f>
        <v>0</v>
      </c>
      <c r="AF23" s="578">
        <f t="shared" ref="AF23:AF42" si="5">IF(AND($Z23&lt;&gt;0,$AA23&lt;&gt;0),$S23*(($Z23/$F23)/$AA23),0)</f>
        <v>0</v>
      </c>
      <c r="AG23" s="578">
        <f t="shared" ref="AG23:AG42" si="6">IF(AND($Z23&lt;&gt;0,$AA23&lt;&gt;0),$T23*(($Z23/$F23)/$AA23),0)</f>
        <v>0</v>
      </c>
      <c r="AH23" s="579">
        <f>AF23*係数!$H$30+IF($D$10="都市ガス",AG23*$Z$4,AG23/0.458*$Z$6)</f>
        <v>0</v>
      </c>
    </row>
    <row r="24" spans="2:34" x14ac:dyDescent="0.55000000000000004">
      <c r="B24" s="194" t="s">
        <v>53</v>
      </c>
      <c r="C24" s="25"/>
      <c r="D24" s="25"/>
      <c r="E24" s="6"/>
      <c r="F24" s="427">
        <f t="shared" si="0"/>
        <v>1</v>
      </c>
      <c r="G24" s="129"/>
      <c r="H24" s="164"/>
      <c r="I24" s="164"/>
      <c r="J24" s="503"/>
      <c r="K24" s="503"/>
      <c r="L24" s="87">
        <f t="shared" si="1"/>
        <v>0</v>
      </c>
      <c r="M24" s="131"/>
      <c r="N24" s="164"/>
      <c r="O24" s="164"/>
      <c r="P24" s="503"/>
      <c r="Q24" s="503"/>
      <c r="R24" s="87">
        <f t="shared" si="2"/>
        <v>0</v>
      </c>
      <c r="S24" s="20">
        <f>E24*(H24*L24*$C$14+N24*R24*$C$15)</f>
        <v>0</v>
      </c>
      <c r="T24" s="41">
        <f t="shared" ref="T24:T42" si="7">E24*(I24*L24*$C$14+O24*R24*$C$15)*860/11000</f>
        <v>0</v>
      </c>
      <c r="U24" s="93">
        <f>S24*係数!$H$30+IF($D$10="都市ガス",T24*$Z$4,T24/0.458*$Z$6)</f>
        <v>0</v>
      </c>
      <c r="V24" s="25"/>
      <c r="W24" s="6"/>
      <c r="X24" s="129"/>
      <c r="Y24" s="129"/>
      <c r="Z24" s="627"/>
      <c r="AA24" s="627"/>
      <c r="AB24" s="448">
        <f t="shared" si="3"/>
        <v>0</v>
      </c>
      <c r="AC24" s="439">
        <f>IF(AND(Z24&lt;&gt;0,AA24&lt;&gt;0),T24*(1-(Z24/F24)/AA24),0)</f>
        <v>0</v>
      </c>
      <c r="AD24" s="549">
        <f>(AB24*係数!$C$30+AC24*VLOOKUP($D$10,係数!$B$3:$C$30,2,FALSE))*0.0000258</f>
        <v>0</v>
      </c>
      <c r="AE24" s="549">
        <f>AB24*係数!$H$30+AC24*係数!$H$25</f>
        <v>0</v>
      </c>
      <c r="AF24" s="578">
        <f t="shared" si="5"/>
        <v>0</v>
      </c>
      <c r="AG24" s="578">
        <f t="shared" si="6"/>
        <v>0</v>
      </c>
      <c r="AH24" s="579">
        <f>AF24*係数!$H$30+IF($D$10="都市ガス",AG24*$Z$4,AG24/0.458*$Z$6)</f>
        <v>0</v>
      </c>
    </row>
    <row r="25" spans="2:34" x14ac:dyDescent="0.55000000000000004">
      <c r="B25" s="194" t="s">
        <v>54</v>
      </c>
      <c r="C25" s="25"/>
      <c r="D25" s="25"/>
      <c r="E25" s="6"/>
      <c r="F25" s="427">
        <f t="shared" si="0"/>
        <v>1</v>
      </c>
      <c r="G25" s="129"/>
      <c r="H25" s="164"/>
      <c r="I25" s="164"/>
      <c r="J25" s="503"/>
      <c r="K25" s="503"/>
      <c r="L25" s="87">
        <f t="shared" si="1"/>
        <v>0</v>
      </c>
      <c r="M25" s="131"/>
      <c r="N25" s="164"/>
      <c r="O25" s="164"/>
      <c r="P25" s="503"/>
      <c r="Q25" s="503"/>
      <c r="R25" s="87">
        <f t="shared" si="2"/>
        <v>0</v>
      </c>
      <c r="S25" s="20">
        <f t="shared" ref="S25:S42" si="8">E25*(H25*L25*$C$14+N25*R25*$C$15)</f>
        <v>0</v>
      </c>
      <c r="T25" s="41">
        <f t="shared" si="7"/>
        <v>0</v>
      </c>
      <c r="U25" s="93">
        <f>S25*係数!$H$30+IF($D$10="都市ガス",T25*$Z$4,T25/0.458*$Z$6)</f>
        <v>0</v>
      </c>
      <c r="V25" s="25"/>
      <c r="W25" s="6"/>
      <c r="X25" s="129"/>
      <c r="Y25" s="129"/>
      <c r="Z25" s="627"/>
      <c r="AA25" s="627"/>
      <c r="AB25" s="448">
        <f t="shared" si="3"/>
        <v>0</v>
      </c>
      <c r="AC25" s="439">
        <f t="shared" si="4"/>
        <v>0</v>
      </c>
      <c r="AD25" s="549">
        <f>(AB25*係数!$C$30+AC25*VLOOKUP($D$10,係数!$B$3:$C$30,2,FALSE))*0.0000258</f>
        <v>0</v>
      </c>
      <c r="AE25" s="549">
        <f>AB25*係数!$H$30+AC25*係数!$H$25</f>
        <v>0</v>
      </c>
      <c r="AF25" s="578">
        <f t="shared" si="5"/>
        <v>0</v>
      </c>
      <c r="AG25" s="578">
        <f t="shared" si="6"/>
        <v>0</v>
      </c>
      <c r="AH25" s="579">
        <f>AF25*係数!$H$30+IF($D$10="都市ガス",AG25*$Z$4,AG25/0.458*$Z$6)</f>
        <v>0</v>
      </c>
    </row>
    <row r="26" spans="2:34" x14ac:dyDescent="0.55000000000000004">
      <c r="B26" s="194" t="s">
        <v>55</v>
      </c>
      <c r="C26" s="25"/>
      <c r="D26" s="25"/>
      <c r="E26" s="6"/>
      <c r="F26" s="427">
        <f t="shared" si="0"/>
        <v>1</v>
      </c>
      <c r="G26" s="129"/>
      <c r="H26" s="164"/>
      <c r="I26" s="164"/>
      <c r="J26" s="503"/>
      <c r="K26" s="503"/>
      <c r="L26" s="504">
        <f t="shared" si="1"/>
        <v>0</v>
      </c>
      <c r="M26" s="129"/>
      <c r="N26" s="164"/>
      <c r="O26" s="164"/>
      <c r="P26" s="503"/>
      <c r="Q26" s="503"/>
      <c r="R26" s="504">
        <f t="shared" si="2"/>
        <v>0</v>
      </c>
      <c r="S26" s="20">
        <f t="shared" si="8"/>
        <v>0</v>
      </c>
      <c r="T26" s="41">
        <f t="shared" si="7"/>
        <v>0</v>
      </c>
      <c r="U26" s="93">
        <f>S26*係数!$H$30+IF($D$10="都市ガス",T26*$Z$4,T26/0.458*$Z$6)</f>
        <v>0</v>
      </c>
      <c r="V26" s="25"/>
      <c r="W26" s="6"/>
      <c r="X26" s="129"/>
      <c r="Y26" s="129"/>
      <c r="Z26" s="627"/>
      <c r="AA26" s="627"/>
      <c r="AB26" s="448">
        <f t="shared" si="3"/>
        <v>0</v>
      </c>
      <c r="AC26" s="439">
        <f t="shared" si="4"/>
        <v>0</v>
      </c>
      <c r="AD26" s="549">
        <f>(AB26*係数!$C$30+AC26*VLOOKUP($D$10,係数!$B$3:$C$30,2,FALSE))*0.0000258</f>
        <v>0</v>
      </c>
      <c r="AE26" s="549">
        <f>AB26*係数!$H$30+AC26*係数!$H$25</f>
        <v>0</v>
      </c>
      <c r="AF26" s="578">
        <f t="shared" si="5"/>
        <v>0</v>
      </c>
      <c r="AG26" s="578">
        <f t="shared" si="6"/>
        <v>0</v>
      </c>
      <c r="AH26" s="579">
        <f>AF26*係数!$H$30+IF($D$10="都市ガス",AG26*$Z$4,AG26/0.458*$Z$6)</f>
        <v>0</v>
      </c>
    </row>
    <row r="27" spans="2:34" x14ac:dyDescent="0.55000000000000004">
      <c r="B27" s="194" t="s">
        <v>56</v>
      </c>
      <c r="C27" s="25"/>
      <c r="D27" s="25"/>
      <c r="E27" s="6"/>
      <c r="F27" s="427">
        <f t="shared" si="0"/>
        <v>1</v>
      </c>
      <c r="G27" s="129"/>
      <c r="H27" s="164"/>
      <c r="I27" s="164"/>
      <c r="J27" s="503"/>
      <c r="K27" s="503"/>
      <c r="L27" s="504">
        <f t="shared" si="1"/>
        <v>0</v>
      </c>
      <c r="M27" s="129"/>
      <c r="N27" s="164"/>
      <c r="O27" s="164"/>
      <c r="P27" s="503"/>
      <c r="Q27" s="503"/>
      <c r="R27" s="504">
        <f t="shared" si="2"/>
        <v>0</v>
      </c>
      <c r="S27" s="20">
        <f t="shared" si="8"/>
        <v>0</v>
      </c>
      <c r="T27" s="41">
        <f t="shared" si="7"/>
        <v>0</v>
      </c>
      <c r="U27" s="93">
        <f>S27*係数!$H$30+IF($D$10="都市ガス",T27*$Z$4,T27/0.458*$Z$6)</f>
        <v>0</v>
      </c>
      <c r="V27" s="25"/>
      <c r="W27" s="6"/>
      <c r="X27" s="129"/>
      <c r="Y27" s="129"/>
      <c r="Z27" s="627"/>
      <c r="AA27" s="627"/>
      <c r="AB27" s="448">
        <f t="shared" si="3"/>
        <v>0</v>
      </c>
      <c r="AC27" s="439">
        <f t="shared" si="4"/>
        <v>0</v>
      </c>
      <c r="AD27" s="549">
        <f>(AB27*係数!$C$30+AC27*VLOOKUP($D$10,係数!$B$3:$C$30,2,FALSE))*0.0000258</f>
        <v>0</v>
      </c>
      <c r="AE27" s="549">
        <f>AB27*係数!$H$30+AC27*係数!$H$25</f>
        <v>0</v>
      </c>
      <c r="AF27" s="578">
        <f t="shared" si="5"/>
        <v>0</v>
      </c>
      <c r="AG27" s="578">
        <f t="shared" si="6"/>
        <v>0</v>
      </c>
      <c r="AH27" s="579">
        <f>AF27*係数!$H$30+IF($D$10="都市ガス",AG27*$Z$4,AG27/0.458*$Z$6)</f>
        <v>0</v>
      </c>
    </row>
    <row r="28" spans="2:34" x14ac:dyDescent="0.55000000000000004">
      <c r="B28" s="194" t="s">
        <v>57</v>
      </c>
      <c r="C28" s="25"/>
      <c r="D28" s="25"/>
      <c r="E28" s="6"/>
      <c r="F28" s="427">
        <f t="shared" si="0"/>
        <v>1</v>
      </c>
      <c r="G28" s="129"/>
      <c r="H28" s="164"/>
      <c r="I28" s="164"/>
      <c r="J28" s="503"/>
      <c r="K28" s="503"/>
      <c r="L28" s="504">
        <f t="shared" si="1"/>
        <v>0</v>
      </c>
      <c r="M28" s="129"/>
      <c r="N28" s="164"/>
      <c r="O28" s="164"/>
      <c r="P28" s="503"/>
      <c r="Q28" s="503"/>
      <c r="R28" s="504">
        <f t="shared" si="2"/>
        <v>0</v>
      </c>
      <c r="S28" s="20">
        <f t="shared" si="8"/>
        <v>0</v>
      </c>
      <c r="T28" s="41">
        <f t="shared" si="7"/>
        <v>0</v>
      </c>
      <c r="U28" s="93">
        <f>S28*係数!$H$30+IF($D$10="都市ガス",T28*$Z$4,T28/0.458*$Z$6)</f>
        <v>0</v>
      </c>
      <c r="V28" s="25"/>
      <c r="W28" s="6"/>
      <c r="X28" s="129"/>
      <c r="Y28" s="129"/>
      <c r="Z28" s="627"/>
      <c r="AA28" s="627"/>
      <c r="AB28" s="448">
        <f t="shared" si="3"/>
        <v>0</v>
      </c>
      <c r="AC28" s="439">
        <f t="shared" si="4"/>
        <v>0</v>
      </c>
      <c r="AD28" s="549">
        <f>(AB28*係数!$C$30+AC28*VLOOKUP($D$10,係数!$B$3:$C$30,2,FALSE))*0.0000258</f>
        <v>0</v>
      </c>
      <c r="AE28" s="549">
        <f>AB28*係数!$H$30+AC28*係数!$H$25</f>
        <v>0</v>
      </c>
      <c r="AF28" s="578">
        <f t="shared" si="5"/>
        <v>0</v>
      </c>
      <c r="AG28" s="578">
        <f t="shared" si="6"/>
        <v>0</v>
      </c>
      <c r="AH28" s="579">
        <f>AF28*係数!$H$30+IF($D$10="都市ガス",AG28*$Z$4,AG28/0.458*$Z$6)</f>
        <v>0</v>
      </c>
    </row>
    <row r="29" spans="2:34" x14ac:dyDescent="0.55000000000000004">
      <c r="B29" s="194" t="s">
        <v>58</v>
      </c>
      <c r="C29" s="25"/>
      <c r="D29" s="25"/>
      <c r="E29" s="6"/>
      <c r="F29" s="427">
        <f t="shared" si="0"/>
        <v>1</v>
      </c>
      <c r="G29" s="129"/>
      <c r="H29" s="164"/>
      <c r="I29" s="164"/>
      <c r="J29" s="503"/>
      <c r="K29" s="503"/>
      <c r="L29" s="504">
        <f t="shared" si="1"/>
        <v>0</v>
      </c>
      <c r="M29" s="129"/>
      <c r="N29" s="164"/>
      <c r="O29" s="164"/>
      <c r="P29" s="503"/>
      <c r="Q29" s="503"/>
      <c r="R29" s="504">
        <f t="shared" si="2"/>
        <v>0</v>
      </c>
      <c r="S29" s="20">
        <f t="shared" si="8"/>
        <v>0</v>
      </c>
      <c r="T29" s="41">
        <f t="shared" si="7"/>
        <v>0</v>
      </c>
      <c r="U29" s="93">
        <f>S29*係数!$H$30+IF($D$10="都市ガス",T29*$Z$4,T29/0.458*$Z$6)</f>
        <v>0</v>
      </c>
      <c r="V29" s="25"/>
      <c r="W29" s="6"/>
      <c r="X29" s="129"/>
      <c r="Y29" s="129"/>
      <c r="Z29" s="627"/>
      <c r="AA29" s="627"/>
      <c r="AB29" s="448">
        <f t="shared" si="3"/>
        <v>0</v>
      </c>
      <c r="AC29" s="439">
        <f t="shared" si="4"/>
        <v>0</v>
      </c>
      <c r="AD29" s="549">
        <f>(AB29*係数!$C$30+AC29*VLOOKUP($D$10,係数!$B$3:$C$30,2,FALSE))*0.0000258</f>
        <v>0</v>
      </c>
      <c r="AE29" s="549">
        <f>AB29*係数!$H$30+AC29*係数!$H$25</f>
        <v>0</v>
      </c>
      <c r="AF29" s="578">
        <f t="shared" si="5"/>
        <v>0</v>
      </c>
      <c r="AG29" s="578">
        <f t="shared" si="6"/>
        <v>0</v>
      </c>
      <c r="AH29" s="579">
        <f>AF29*係数!$H$30+IF($D$10="都市ガス",AG29*$Z$4,AG29/0.458*$Z$6)</f>
        <v>0</v>
      </c>
    </row>
    <row r="30" spans="2:34" x14ac:dyDescent="0.55000000000000004">
      <c r="B30" s="194" t="s">
        <v>59</v>
      </c>
      <c r="C30" s="25"/>
      <c r="D30" s="25"/>
      <c r="E30" s="6"/>
      <c r="F30" s="427">
        <f t="shared" si="0"/>
        <v>1</v>
      </c>
      <c r="G30" s="129"/>
      <c r="H30" s="164"/>
      <c r="I30" s="164"/>
      <c r="J30" s="503"/>
      <c r="K30" s="503"/>
      <c r="L30" s="504">
        <f t="shared" si="1"/>
        <v>0</v>
      </c>
      <c r="M30" s="129"/>
      <c r="N30" s="164"/>
      <c r="O30" s="164"/>
      <c r="P30" s="503"/>
      <c r="Q30" s="503"/>
      <c r="R30" s="504">
        <f t="shared" si="2"/>
        <v>0</v>
      </c>
      <c r="S30" s="20">
        <f t="shared" si="8"/>
        <v>0</v>
      </c>
      <c r="T30" s="41">
        <f t="shared" si="7"/>
        <v>0</v>
      </c>
      <c r="U30" s="93">
        <f>S30*係数!$H$30+IF($D$10="都市ガス",T30*$Z$4,T30/0.458*$Z$6)</f>
        <v>0</v>
      </c>
      <c r="V30" s="25"/>
      <c r="W30" s="6"/>
      <c r="X30" s="129"/>
      <c r="Y30" s="129"/>
      <c r="Z30" s="627"/>
      <c r="AA30" s="627"/>
      <c r="AB30" s="448">
        <f t="shared" si="3"/>
        <v>0</v>
      </c>
      <c r="AC30" s="439">
        <f t="shared" si="4"/>
        <v>0</v>
      </c>
      <c r="AD30" s="549">
        <f>(AB30*係数!$C$30+AC30*VLOOKUP($D$10,係数!$B$3:$C$30,2,FALSE))*0.0000258</f>
        <v>0</v>
      </c>
      <c r="AE30" s="549">
        <f>AB30*係数!$H$30+AC30*係数!$H$25</f>
        <v>0</v>
      </c>
      <c r="AF30" s="578">
        <f t="shared" si="5"/>
        <v>0</v>
      </c>
      <c r="AG30" s="578">
        <f t="shared" si="6"/>
        <v>0</v>
      </c>
      <c r="AH30" s="579">
        <f>AF30*係数!$H$30+IF($D$10="都市ガス",AG30*$Z$4,AG30/0.458*$Z$6)</f>
        <v>0</v>
      </c>
    </row>
    <row r="31" spans="2:34" x14ac:dyDescent="0.55000000000000004">
      <c r="B31" s="194" t="s">
        <v>60</v>
      </c>
      <c r="C31" s="25"/>
      <c r="D31" s="25"/>
      <c r="E31" s="6"/>
      <c r="F31" s="427">
        <f t="shared" si="0"/>
        <v>1</v>
      </c>
      <c r="G31" s="129"/>
      <c r="H31" s="164"/>
      <c r="I31" s="164"/>
      <c r="J31" s="503"/>
      <c r="K31" s="503"/>
      <c r="L31" s="504">
        <f t="shared" si="1"/>
        <v>0</v>
      </c>
      <c r="M31" s="129"/>
      <c r="N31" s="164"/>
      <c r="O31" s="164"/>
      <c r="P31" s="503"/>
      <c r="Q31" s="503"/>
      <c r="R31" s="504">
        <f t="shared" si="2"/>
        <v>0</v>
      </c>
      <c r="S31" s="20">
        <f t="shared" si="8"/>
        <v>0</v>
      </c>
      <c r="T31" s="41">
        <f t="shared" si="7"/>
        <v>0</v>
      </c>
      <c r="U31" s="93">
        <f>S31*係数!$H$30+IF($D$10="都市ガス",T31*$Z$4,T31/0.458*$Z$6)</f>
        <v>0</v>
      </c>
      <c r="V31" s="25"/>
      <c r="W31" s="6"/>
      <c r="X31" s="129"/>
      <c r="Y31" s="129"/>
      <c r="Z31" s="627"/>
      <c r="AA31" s="627"/>
      <c r="AB31" s="448">
        <f t="shared" si="3"/>
        <v>0</v>
      </c>
      <c r="AC31" s="439">
        <f t="shared" si="4"/>
        <v>0</v>
      </c>
      <c r="AD31" s="549">
        <f>(AB31*係数!$C$30+AC31*VLOOKUP($D$10,係数!$B$3:$C$30,2,FALSE))*0.0000258</f>
        <v>0</v>
      </c>
      <c r="AE31" s="549">
        <f>AB31*係数!$H$30+AC31*係数!$H$25</f>
        <v>0</v>
      </c>
      <c r="AF31" s="578">
        <f t="shared" si="5"/>
        <v>0</v>
      </c>
      <c r="AG31" s="578">
        <f t="shared" si="6"/>
        <v>0</v>
      </c>
      <c r="AH31" s="579">
        <f>AF31*係数!$H$30+IF($D$10="都市ガス",AG31*$Z$4,AG31/0.458*$Z$6)</f>
        <v>0</v>
      </c>
    </row>
    <row r="32" spans="2:34" x14ac:dyDescent="0.55000000000000004">
      <c r="B32" s="194" t="s">
        <v>61</v>
      </c>
      <c r="C32" s="25"/>
      <c r="D32" s="25"/>
      <c r="E32" s="6"/>
      <c r="F32" s="427">
        <f t="shared" si="0"/>
        <v>1</v>
      </c>
      <c r="G32" s="129"/>
      <c r="H32" s="164"/>
      <c r="I32" s="164"/>
      <c r="J32" s="503"/>
      <c r="K32" s="503"/>
      <c r="L32" s="504">
        <f t="shared" si="1"/>
        <v>0</v>
      </c>
      <c r="M32" s="129"/>
      <c r="N32" s="164"/>
      <c r="O32" s="164"/>
      <c r="P32" s="503"/>
      <c r="Q32" s="503"/>
      <c r="R32" s="504">
        <f t="shared" si="2"/>
        <v>0</v>
      </c>
      <c r="S32" s="20">
        <f t="shared" si="8"/>
        <v>0</v>
      </c>
      <c r="T32" s="41">
        <f t="shared" si="7"/>
        <v>0</v>
      </c>
      <c r="U32" s="93">
        <f>S32*係数!$H$30+IF($D$10="都市ガス",T32*$Z$4,T32/0.458*$Z$6)</f>
        <v>0</v>
      </c>
      <c r="V32" s="25"/>
      <c r="W32" s="6"/>
      <c r="X32" s="129"/>
      <c r="Y32" s="129"/>
      <c r="Z32" s="627"/>
      <c r="AA32" s="627"/>
      <c r="AB32" s="448">
        <f t="shared" si="3"/>
        <v>0</v>
      </c>
      <c r="AC32" s="439">
        <f t="shared" si="4"/>
        <v>0</v>
      </c>
      <c r="AD32" s="549">
        <f>(AB32*係数!$C$30+AC32*VLOOKUP($D$10,係数!$B$3:$C$30,2,FALSE))*0.0000258</f>
        <v>0</v>
      </c>
      <c r="AE32" s="549">
        <f>AB32*係数!$H$30+AC32*係数!$H$25</f>
        <v>0</v>
      </c>
      <c r="AF32" s="578">
        <f t="shared" si="5"/>
        <v>0</v>
      </c>
      <c r="AG32" s="578">
        <f t="shared" si="6"/>
        <v>0</v>
      </c>
      <c r="AH32" s="579">
        <f>AF32*係数!$H$30+IF($D$10="都市ガス",AG32*$Z$4,AG32/0.458*$Z$6)</f>
        <v>0</v>
      </c>
    </row>
    <row r="33" spans="2:34" x14ac:dyDescent="0.55000000000000004">
      <c r="B33" s="194" t="s">
        <v>62</v>
      </c>
      <c r="C33" s="25"/>
      <c r="D33" s="25"/>
      <c r="E33" s="6"/>
      <c r="F33" s="427">
        <f t="shared" si="0"/>
        <v>1</v>
      </c>
      <c r="G33" s="129"/>
      <c r="H33" s="164"/>
      <c r="I33" s="164"/>
      <c r="J33" s="503"/>
      <c r="K33" s="503"/>
      <c r="L33" s="504">
        <f t="shared" si="1"/>
        <v>0</v>
      </c>
      <c r="M33" s="129"/>
      <c r="N33" s="164"/>
      <c r="O33" s="164"/>
      <c r="P33" s="503"/>
      <c r="Q33" s="503"/>
      <c r="R33" s="504">
        <f t="shared" si="2"/>
        <v>0</v>
      </c>
      <c r="S33" s="20">
        <f t="shared" si="8"/>
        <v>0</v>
      </c>
      <c r="T33" s="41">
        <f t="shared" si="7"/>
        <v>0</v>
      </c>
      <c r="U33" s="93">
        <f>S33*係数!$H$30+IF($D$10="都市ガス",T33*$Z$4,T33/0.458*$Z$6)</f>
        <v>0</v>
      </c>
      <c r="V33" s="25"/>
      <c r="W33" s="6"/>
      <c r="X33" s="129"/>
      <c r="Y33" s="129"/>
      <c r="Z33" s="627"/>
      <c r="AA33" s="627"/>
      <c r="AB33" s="448">
        <f t="shared" si="3"/>
        <v>0</v>
      </c>
      <c r="AC33" s="439">
        <f t="shared" si="4"/>
        <v>0</v>
      </c>
      <c r="AD33" s="549">
        <f>(AB33*係数!$C$30+AC33*VLOOKUP($D$10,係数!$B$3:$C$30,2,FALSE))*0.0000258</f>
        <v>0</v>
      </c>
      <c r="AE33" s="549">
        <f>AB33*係数!$H$30+AC33*係数!$H$25</f>
        <v>0</v>
      </c>
      <c r="AF33" s="578">
        <f t="shared" si="5"/>
        <v>0</v>
      </c>
      <c r="AG33" s="578">
        <f t="shared" si="6"/>
        <v>0</v>
      </c>
      <c r="AH33" s="579">
        <f>AF33*係数!$H$30+IF($D$10="都市ガス",AG33*$Z$4,AG33/0.458*$Z$6)</f>
        <v>0</v>
      </c>
    </row>
    <row r="34" spans="2:34" x14ac:dyDescent="0.55000000000000004">
      <c r="B34" s="194" t="s">
        <v>63</v>
      </c>
      <c r="C34" s="25"/>
      <c r="D34" s="25"/>
      <c r="E34" s="6"/>
      <c r="F34" s="427">
        <f t="shared" si="0"/>
        <v>1</v>
      </c>
      <c r="G34" s="129"/>
      <c r="H34" s="164"/>
      <c r="I34" s="164"/>
      <c r="J34" s="503"/>
      <c r="K34" s="503"/>
      <c r="L34" s="504">
        <f t="shared" si="1"/>
        <v>0</v>
      </c>
      <c r="M34" s="129"/>
      <c r="N34" s="164"/>
      <c r="O34" s="164"/>
      <c r="P34" s="503"/>
      <c r="Q34" s="503"/>
      <c r="R34" s="504">
        <f t="shared" si="2"/>
        <v>0</v>
      </c>
      <c r="S34" s="20">
        <f t="shared" si="8"/>
        <v>0</v>
      </c>
      <c r="T34" s="41">
        <f t="shared" si="7"/>
        <v>0</v>
      </c>
      <c r="U34" s="93">
        <f>S34*係数!$H$30+IF($D$10="都市ガス",T34*$Z$4,T34/0.458*$Z$6)</f>
        <v>0</v>
      </c>
      <c r="V34" s="25"/>
      <c r="W34" s="6"/>
      <c r="X34" s="129"/>
      <c r="Y34" s="129"/>
      <c r="Z34" s="627"/>
      <c r="AA34" s="627"/>
      <c r="AB34" s="448">
        <f t="shared" si="3"/>
        <v>0</v>
      </c>
      <c r="AC34" s="439">
        <f t="shared" si="4"/>
        <v>0</v>
      </c>
      <c r="AD34" s="549">
        <f>(AB34*係数!$C$30+AC34*VLOOKUP($D$10,係数!$B$3:$C$30,2,FALSE))*0.0000258</f>
        <v>0</v>
      </c>
      <c r="AE34" s="549">
        <f>AB34*係数!$H$30+AC34*係数!$H$25</f>
        <v>0</v>
      </c>
      <c r="AF34" s="578">
        <f t="shared" si="5"/>
        <v>0</v>
      </c>
      <c r="AG34" s="578">
        <f t="shared" si="6"/>
        <v>0</v>
      </c>
      <c r="AH34" s="579">
        <f>AF34*係数!$H$30+IF($D$10="都市ガス",AG34*$Z$4,AG34/0.458*$Z$6)</f>
        <v>0</v>
      </c>
    </row>
    <row r="35" spans="2:34" x14ac:dyDescent="0.55000000000000004">
      <c r="B35" s="194" t="s">
        <v>64</v>
      </c>
      <c r="C35" s="25"/>
      <c r="D35" s="25"/>
      <c r="E35" s="6"/>
      <c r="F35" s="427">
        <f t="shared" si="0"/>
        <v>1</v>
      </c>
      <c r="G35" s="129"/>
      <c r="H35" s="164"/>
      <c r="I35" s="164"/>
      <c r="J35" s="503"/>
      <c r="K35" s="503"/>
      <c r="L35" s="504">
        <f t="shared" si="1"/>
        <v>0</v>
      </c>
      <c r="M35" s="129"/>
      <c r="N35" s="164"/>
      <c r="O35" s="164"/>
      <c r="P35" s="503"/>
      <c r="Q35" s="503"/>
      <c r="R35" s="504">
        <f t="shared" si="2"/>
        <v>0</v>
      </c>
      <c r="S35" s="20">
        <f t="shared" si="8"/>
        <v>0</v>
      </c>
      <c r="T35" s="41">
        <f t="shared" si="7"/>
        <v>0</v>
      </c>
      <c r="U35" s="93">
        <f>S35*係数!$H$30+IF($D$10="都市ガス",T35*$Z$4,T35/0.458*$Z$6)</f>
        <v>0</v>
      </c>
      <c r="V35" s="25"/>
      <c r="W35" s="6"/>
      <c r="X35" s="129"/>
      <c r="Y35" s="129"/>
      <c r="Z35" s="627"/>
      <c r="AA35" s="627"/>
      <c r="AB35" s="448">
        <f t="shared" si="3"/>
        <v>0</v>
      </c>
      <c r="AC35" s="439">
        <f t="shared" si="4"/>
        <v>0</v>
      </c>
      <c r="AD35" s="549">
        <f>(AB35*係数!$C$30+AC35*VLOOKUP($D$10,係数!$B$3:$C$30,2,FALSE))*0.0000258</f>
        <v>0</v>
      </c>
      <c r="AE35" s="549">
        <f>AB35*係数!$H$30+AC35*係数!$H$25</f>
        <v>0</v>
      </c>
      <c r="AF35" s="578">
        <f t="shared" si="5"/>
        <v>0</v>
      </c>
      <c r="AG35" s="578">
        <f t="shared" si="6"/>
        <v>0</v>
      </c>
      <c r="AH35" s="579">
        <f>AF35*係数!$H$30+IF($D$10="都市ガス",AG35*$Z$4,AG35/0.458*$Z$6)</f>
        <v>0</v>
      </c>
    </row>
    <row r="36" spans="2:34" x14ac:dyDescent="0.55000000000000004">
      <c r="B36" s="194" t="s">
        <v>65</v>
      </c>
      <c r="C36" s="25"/>
      <c r="D36" s="25"/>
      <c r="E36" s="6"/>
      <c r="F36" s="427">
        <f t="shared" si="0"/>
        <v>1</v>
      </c>
      <c r="G36" s="129"/>
      <c r="H36" s="164"/>
      <c r="I36" s="164"/>
      <c r="J36" s="503"/>
      <c r="K36" s="503"/>
      <c r="L36" s="504">
        <f t="shared" si="1"/>
        <v>0</v>
      </c>
      <c r="M36" s="129"/>
      <c r="N36" s="164"/>
      <c r="O36" s="164"/>
      <c r="P36" s="503"/>
      <c r="Q36" s="503"/>
      <c r="R36" s="504">
        <f t="shared" si="2"/>
        <v>0</v>
      </c>
      <c r="S36" s="20">
        <f t="shared" si="8"/>
        <v>0</v>
      </c>
      <c r="T36" s="41">
        <f t="shared" si="7"/>
        <v>0</v>
      </c>
      <c r="U36" s="93">
        <f>S36*係数!$H$30+IF($D$10="都市ガス",T36*$Z$4,T36/0.458*$Z$6)</f>
        <v>0</v>
      </c>
      <c r="V36" s="25"/>
      <c r="W36" s="6"/>
      <c r="X36" s="129"/>
      <c r="Y36" s="129"/>
      <c r="Z36" s="627"/>
      <c r="AA36" s="627"/>
      <c r="AB36" s="448">
        <f t="shared" si="3"/>
        <v>0</v>
      </c>
      <c r="AC36" s="439">
        <f t="shared" si="4"/>
        <v>0</v>
      </c>
      <c r="AD36" s="549">
        <f>(AB36*係数!$C$30+AC36*VLOOKUP($D$10,係数!$B$3:$C$30,2,FALSE))*0.0000258</f>
        <v>0</v>
      </c>
      <c r="AE36" s="549">
        <f>AB36*係数!$H$30+AC36*係数!$H$25</f>
        <v>0</v>
      </c>
      <c r="AF36" s="578">
        <f t="shared" si="5"/>
        <v>0</v>
      </c>
      <c r="AG36" s="578">
        <f t="shared" si="6"/>
        <v>0</v>
      </c>
      <c r="AH36" s="579">
        <f>AF36*係数!$H$30+IF($D$10="都市ガス",AG36*$Z$4,AG36/0.458*$Z$6)</f>
        <v>0</v>
      </c>
    </row>
    <row r="37" spans="2:34" x14ac:dyDescent="0.55000000000000004">
      <c r="B37" s="194" t="s">
        <v>66</v>
      </c>
      <c r="C37" s="25"/>
      <c r="D37" s="25"/>
      <c r="E37" s="6"/>
      <c r="F37" s="427">
        <f t="shared" si="0"/>
        <v>1</v>
      </c>
      <c r="G37" s="129"/>
      <c r="H37" s="164"/>
      <c r="I37" s="164"/>
      <c r="J37" s="503"/>
      <c r="K37" s="503"/>
      <c r="L37" s="504">
        <f t="shared" si="1"/>
        <v>0</v>
      </c>
      <c r="M37" s="129"/>
      <c r="N37" s="164"/>
      <c r="O37" s="164"/>
      <c r="P37" s="503"/>
      <c r="Q37" s="503"/>
      <c r="R37" s="504">
        <f t="shared" si="2"/>
        <v>0</v>
      </c>
      <c r="S37" s="20">
        <f t="shared" si="8"/>
        <v>0</v>
      </c>
      <c r="T37" s="41">
        <f t="shared" si="7"/>
        <v>0</v>
      </c>
      <c r="U37" s="93">
        <f>S37*係数!$H$30+IF($D$10="都市ガス",T37*$Z$4,T37/0.458*$Z$6)</f>
        <v>0</v>
      </c>
      <c r="V37" s="25"/>
      <c r="W37" s="6"/>
      <c r="X37" s="129"/>
      <c r="Y37" s="129"/>
      <c r="Z37" s="627"/>
      <c r="AA37" s="627"/>
      <c r="AB37" s="448">
        <f t="shared" si="3"/>
        <v>0</v>
      </c>
      <c r="AC37" s="439">
        <f t="shared" si="4"/>
        <v>0</v>
      </c>
      <c r="AD37" s="549">
        <f>(AB37*係数!$C$30+AC37*VLOOKUP($D$10,係数!$B$3:$C$30,2,FALSE))*0.0000258</f>
        <v>0</v>
      </c>
      <c r="AE37" s="549">
        <f>AB37*係数!$H$30+AC37*係数!$H$25</f>
        <v>0</v>
      </c>
      <c r="AF37" s="578">
        <f t="shared" si="5"/>
        <v>0</v>
      </c>
      <c r="AG37" s="578">
        <f t="shared" si="6"/>
        <v>0</v>
      </c>
      <c r="AH37" s="579">
        <f>AF37*係数!$H$30+IF($D$10="都市ガス",AG37*$Z$4,AG37/0.458*$Z$6)</f>
        <v>0</v>
      </c>
    </row>
    <row r="38" spans="2:34" x14ac:dyDescent="0.55000000000000004">
      <c r="B38" s="194" t="s">
        <v>67</v>
      </c>
      <c r="C38" s="25"/>
      <c r="D38" s="25"/>
      <c r="E38" s="6"/>
      <c r="F38" s="427">
        <f t="shared" si="0"/>
        <v>1</v>
      </c>
      <c r="G38" s="129"/>
      <c r="H38" s="164"/>
      <c r="I38" s="164"/>
      <c r="J38" s="503"/>
      <c r="K38" s="503"/>
      <c r="L38" s="504">
        <f t="shared" si="1"/>
        <v>0</v>
      </c>
      <c r="M38" s="129"/>
      <c r="N38" s="164"/>
      <c r="O38" s="164"/>
      <c r="P38" s="503"/>
      <c r="Q38" s="503"/>
      <c r="R38" s="504">
        <f t="shared" si="2"/>
        <v>0</v>
      </c>
      <c r="S38" s="20">
        <f t="shared" si="8"/>
        <v>0</v>
      </c>
      <c r="T38" s="41">
        <f t="shared" si="7"/>
        <v>0</v>
      </c>
      <c r="U38" s="93">
        <f>S38*係数!$H$30+IF($D$10="都市ガス",T38*$Z$4,T38/0.458*$Z$6)</f>
        <v>0</v>
      </c>
      <c r="V38" s="25"/>
      <c r="W38" s="6"/>
      <c r="X38" s="129"/>
      <c r="Y38" s="129"/>
      <c r="Z38" s="627"/>
      <c r="AA38" s="627"/>
      <c r="AB38" s="448">
        <f t="shared" si="3"/>
        <v>0</v>
      </c>
      <c r="AC38" s="439">
        <f t="shared" si="4"/>
        <v>0</v>
      </c>
      <c r="AD38" s="549">
        <f>(AB38*係数!$C$30+AC38*VLOOKUP($D$10,係数!$B$3:$C$30,2,FALSE))*0.0000258</f>
        <v>0</v>
      </c>
      <c r="AE38" s="549">
        <f>AB38*係数!$H$30+AC38*係数!$H$25</f>
        <v>0</v>
      </c>
      <c r="AF38" s="578">
        <f t="shared" si="5"/>
        <v>0</v>
      </c>
      <c r="AG38" s="578">
        <f t="shared" si="6"/>
        <v>0</v>
      </c>
      <c r="AH38" s="579">
        <f>AF38*係数!$H$30+IF($D$10="都市ガス",AG38*$Z$4,AG38/0.458*$Z$6)</f>
        <v>0</v>
      </c>
    </row>
    <row r="39" spans="2:34" x14ac:dyDescent="0.55000000000000004">
      <c r="B39" s="194" t="s">
        <v>68</v>
      </c>
      <c r="C39" s="25"/>
      <c r="D39" s="25"/>
      <c r="E39" s="6"/>
      <c r="F39" s="427">
        <f t="shared" si="0"/>
        <v>1</v>
      </c>
      <c r="G39" s="129"/>
      <c r="H39" s="164"/>
      <c r="I39" s="164"/>
      <c r="J39" s="503"/>
      <c r="K39" s="503"/>
      <c r="L39" s="504">
        <f t="shared" si="1"/>
        <v>0</v>
      </c>
      <c r="M39" s="129"/>
      <c r="N39" s="164"/>
      <c r="O39" s="164"/>
      <c r="P39" s="503"/>
      <c r="Q39" s="503"/>
      <c r="R39" s="504">
        <f t="shared" si="2"/>
        <v>0</v>
      </c>
      <c r="S39" s="20">
        <f t="shared" si="8"/>
        <v>0</v>
      </c>
      <c r="T39" s="41">
        <f t="shared" si="7"/>
        <v>0</v>
      </c>
      <c r="U39" s="93">
        <f>S39*係数!$H$30+IF($D$10="都市ガス",T39*$Z$4,T39/0.458*$Z$6)</f>
        <v>0</v>
      </c>
      <c r="V39" s="25"/>
      <c r="W39" s="6"/>
      <c r="X39" s="129"/>
      <c r="Y39" s="129"/>
      <c r="Z39" s="627"/>
      <c r="AA39" s="627"/>
      <c r="AB39" s="448">
        <f t="shared" si="3"/>
        <v>0</v>
      </c>
      <c r="AC39" s="439">
        <f t="shared" si="4"/>
        <v>0</v>
      </c>
      <c r="AD39" s="549">
        <f>(AB39*係数!$C$30+AC39*VLOOKUP($D$10,係数!$B$3:$C$30,2,FALSE))*0.0000258</f>
        <v>0</v>
      </c>
      <c r="AE39" s="549">
        <f>AB39*係数!$H$30+AC39*係数!$H$25</f>
        <v>0</v>
      </c>
      <c r="AF39" s="578">
        <f t="shared" si="5"/>
        <v>0</v>
      </c>
      <c r="AG39" s="578">
        <f t="shared" si="6"/>
        <v>0</v>
      </c>
      <c r="AH39" s="579">
        <f>AF39*係数!$H$30+IF($D$10="都市ガス",AG39*$Z$4,AG39/0.458*$Z$6)</f>
        <v>0</v>
      </c>
    </row>
    <row r="40" spans="2:34" x14ac:dyDescent="0.55000000000000004">
      <c r="B40" s="194" t="s">
        <v>69</v>
      </c>
      <c r="C40" s="25"/>
      <c r="D40" s="25"/>
      <c r="E40" s="6"/>
      <c r="F40" s="427">
        <f t="shared" si="0"/>
        <v>1</v>
      </c>
      <c r="G40" s="129"/>
      <c r="H40" s="164"/>
      <c r="I40" s="164"/>
      <c r="J40" s="503"/>
      <c r="K40" s="503"/>
      <c r="L40" s="504">
        <f t="shared" si="1"/>
        <v>0</v>
      </c>
      <c r="M40" s="129"/>
      <c r="N40" s="164"/>
      <c r="O40" s="164"/>
      <c r="P40" s="503"/>
      <c r="Q40" s="503"/>
      <c r="R40" s="504">
        <f t="shared" si="2"/>
        <v>0</v>
      </c>
      <c r="S40" s="20">
        <f t="shared" si="8"/>
        <v>0</v>
      </c>
      <c r="T40" s="41">
        <f t="shared" si="7"/>
        <v>0</v>
      </c>
      <c r="U40" s="93">
        <f>S40*係数!$H$30+IF($D$10="都市ガス",T40*$Z$4,T40/0.458*$Z$6)</f>
        <v>0</v>
      </c>
      <c r="V40" s="25"/>
      <c r="W40" s="6"/>
      <c r="X40" s="129"/>
      <c r="Y40" s="129"/>
      <c r="Z40" s="627"/>
      <c r="AA40" s="627"/>
      <c r="AB40" s="448">
        <f t="shared" si="3"/>
        <v>0</v>
      </c>
      <c r="AC40" s="439">
        <f t="shared" si="4"/>
        <v>0</v>
      </c>
      <c r="AD40" s="549">
        <f>(AB40*係数!$C$30+AC40*VLOOKUP($D$10,係数!$B$3:$C$30,2,FALSE))*0.0000258</f>
        <v>0</v>
      </c>
      <c r="AE40" s="549">
        <f>AB40*係数!$H$30+AC40*係数!$H$25</f>
        <v>0</v>
      </c>
      <c r="AF40" s="578">
        <f t="shared" si="5"/>
        <v>0</v>
      </c>
      <c r="AG40" s="578">
        <f t="shared" si="6"/>
        <v>0</v>
      </c>
      <c r="AH40" s="579">
        <f>AF40*係数!$H$30+IF($D$10="都市ガス",AG40*$Z$4,AG40/0.458*$Z$6)</f>
        <v>0</v>
      </c>
    </row>
    <row r="41" spans="2:34" x14ac:dyDescent="0.55000000000000004">
      <c r="B41" s="194" t="s">
        <v>70</v>
      </c>
      <c r="C41" s="25"/>
      <c r="D41" s="25"/>
      <c r="E41" s="6"/>
      <c r="F41" s="427">
        <f t="shared" si="0"/>
        <v>1</v>
      </c>
      <c r="G41" s="129"/>
      <c r="H41" s="164"/>
      <c r="I41" s="164"/>
      <c r="J41" s="503"/>
      <c r="K41" s="503"/>
      <c r="L41" s="504">
        <f t="shared" si="1"/>
        <v>0</v>
      </c>
      <c r="M41" s="129"/>
      <c r="N41" s="164"/>
      <c r="O41" s="164"/>
      <c r="P41" s="503"/>
      <c r="Q41" s="503"/>
      <c r="R41" s="504">
        <f t="shared" si="2"/>
        <v>0</v>
      </c>
      <c r="S41" s="20">
        <f t="shared" si="8"/>
        <v>0</v>
      </c>
      <c r="T41" s="41">
        <f t="shared" si="7"/>
        <v>0</v>
      </c>
      <c r="U41" s="93">
        <f>S41*係数!$H$30+IF($D$10="都市ガス",T41*$Z$4,T41/0.458*$Z$6)</f>
        <v>0</v>
      </c>
      <c r="V41" s="25"/>
      <c r="W41" s="6"/>
      <c r="X41" s="129"/>
      <c r="Y41" s="129"/>
      <c r="Z41" s="627"/>
      <c r="AA41" s="627"/>
      <c r="AB41" s="448">
        <f t="shared" si="3"/>
        <v>0</v>
      </c>
      <c r="AC41" s="439">
        <f t="shared" si="4"/>
        <v>0</v>
      </c>
      <c r="AD41" s="549">
        <f>(AB41*係数!$C$30+AC41*VLOOKUP($D$10,係数!$B$3:$C$30,2,FALSE))*0.0000258</f>
        <v>0</v>
      </c>
      <c r="AE41" s="549">
        <f>AB41*係数!$H$30+AC41*係数!$H$25</f>
        <v>0</v>
      </c>
      <c r="AF41" s="578">
        <f t="shared" si="5"/>
        <v>0</v>
      </c>
      <c r="AG41" s="578">
        <f t="shared" si="6"/>
        <v>0</v>
      </c>
      <c r="AH41" s="579">
        <f>AF41*係数!$H$30+IF($D$10="都市ガス",AG41*$Z$4,AG41/0.458*$Z$6)</f>
        <v>0</v>
      </c>
    </row>
    <row r="42" spans="2:34" x14ac:dyDescent="0.55000000000000004">
      <c r="B42" s="194" t="s">
        <v>71</v>
      </c>
      <c r="C42" s="25"/>
      <c r="D42" s="25"/>
      <c r="E42" s="6"/>
      <c r="F42" s="427">
        <f t="shared" si="0"/>
        <v>1</v>
      </c>
      <c r="G42" s="129"/>
      <c r="H42" s="164"/>
      <c r="I42" s="164"/>
      <c r="J42" s="503"/>
      <c r="K42" s="503"/>
      <c r="L42" s="504">
        <f t="shared" si="1"/>
        <v>0</v>
      </c>
      <c r="M42" s="129"/>
      <c r="N42" s="164"/>
      <c r="O42" s="164"/>
      <c r="P42" s="503"/>
      <c r="Q42" s="503"/>
      <c r="R42" s="504">
        <f t="shared" si="2"/>
        <v>0</v>
      </c>
      <c r="S42" s="20">
        <f t="shared" si="8"/>
        <v>0</v>
      </c>
      <c r="T42" s="41">
        <f t="shared" si="7"/>
        <v>0</v>
      </c>
      <c r="U42" s="93">
        <f>S42*係数!$H$30+IF($D$10="都市ガス",T42*$Z$4,T42/0.458*$Z$6)</f>
        <v>0</v>
      </c>
      <c r="V42" s="25"/>
      <c r="W42" s="6"/>
      <c r="X42" s="129"/>
      <c r="Y42" s="129"/>
      <c r="Z42" s="627"/>
      <c r="AA42" s="627"/>
      <c r="AB42" s="448">
        <f t="shared" si="3"/>
        <v>0</v>
      </c>
      <c r="AC42" s="439">
        <f t="shared" si="4"/>
        <v>0</v>
      </c>
      <c r="AD42" s="549">
        <f>(AB42*係数!$C$30+AC42*VLOOKUP($D$10,係数!$B$3:$C$30,2,FALSE))*0.0000258</f>
        <v>0</v>
      </c>
      <c r="AE42" s="549">
        <f>AB42*係数!$H$30+AC42*係数!$H$25</f>
        <v>0</v>
      </c>
      <c r="AF42" s="578">
        <f t="shared" si="5"/>
        <v>0</v>
      </c>
      <c r="AG42" s="578">
        <f t="shared" si="6"/>
        <v>0</v>
      </c>
      <c r="AH42" s="579">
        <f>AF42*係数!$H$30+IF($D$10="都市ガス",AG42*$Z$4,AG42/0.458*$Z$6)</f>
        <v>0</v>
      </c>
    </row>
    <row r="43" spans="2:34" x14ac:dyDescent="0.55000000000000004">
      <c r="L43" s="165"/>
      <c r="M43" s="165"/>
    </row>
  </sheetData>
  <sheetProtection password="CC4B" sheet="1" formatCells="0" formatColumns="0" formatRows="0"/>
  <mergeCells count="19">
    <mergeCell ref="D3:E3"/>
    <mergeCell ref="M3:U3"/>
    <mergeCell ref="W3:X3"/>
    <mergeCell ref="D4:E4"/>
    <mergeCell ref="M4:U4"/>
    <mergeCell ref="W4:W5"/>
    <mergeCell ref="D5:E5"/>
    <mergeCell ref="H9:I9"/>
    <mergeCell ref="H10:I10"/>
    <mergeCell ref="B17:B19"/>
    <mergeCell ref="AB17:AE18"/>
    <mergeCell ref="D6:E6"/>
    <mergeCell ref="M6:U6"/>
    <mergeCell ref="D7:E7"/>
    <mergeCell ref="M7:N7"/>
    <mergeCell ref="Q7:U8"/>
    <mergeCell ref="W7:X7"/>
    <mergeCell ref="D8:E8"/>
    <mergeCell ref="M8:N8"/>
  </mergeCells>
  <phoneticPr fontId="5"/>
  <conditionalFormatting sqref="D10:D15">
    <cfRule type="expression" dxfId="53" priority="5">
      <formula>$D$1="なし"</formula>
    </cfRule>
  </conditionalFormatting>
  <conditionalFormatting sqref="AC23:AD42">
    <cfRule type="expression" dxfId="52" priority="4">
      <formula>$D$1="なし"</formula>
    </cfRule>
  </conditionalFormatting>
  <conditionalFormatting sqref="C14:C15 E10:E15 G7:H8 J4:J8 AE23:AE42 C23:AB42">
    <cfRule type="expression" dxfId="51" priority="6">
      <formula>$F$1="なし"</formula>
    </cfRule>
  </conditionalFormatting>
  <conditionalFormatting sqref="X22">
    <cfRule type="cellIs" dxfId="50" priority="3" operator="greaterThan">
      <formula>$G$22</formula>
    </cfRule>
  </conditionalFormatting>
  <conditionalFormatting sqref="Y22">
    <cfRule type="cellIs" dxfId="49" priority="2" operator="greaterThan">
      <formula>$M$22</formula>
    </cfRule>
  </conditionalFormatting>
  <conditionalFormatting sqref="Q7:U8">
    <cfRule type="cellIs" dxfId="48" priority="1" operator="notEqual">
      <formula>"ー"</formula>
    </cfRule>
  </conditionalFormatting>
  <dataValidations count="4">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4:C15">
      <formula1>0.4</formula1>
    </dataValidation>
    <dataValidation type="whole" errorStyle="warning" allowBlank="1" showInputMessage="1" showErrorMessage="1" errorTitle="台数の増減" sqref="W21">
      <formula1>0</formula1>
      <formula2>E21</formula2>
    </dataValidation>
    <dataValidation type="list" allowBlank="1" showInputMessage="1" showErrorMessage="1" sqref="E10">
      <formula1>"13A,12A,LP"</formula1>
    </dataValidation>
    <dataValidation type="list" allowBlank="1" showInputMessage="1" showErrorMessage="1" sqref="D10">
      <formula1>"都市ガス,液化石油ガス（LPG）"</formula1>
    </dataValidation>
  </dataValidations>
  <pageMargins left="0.70866141732283472" right="0.70866141732283472" top="0.74803149606299213" bottom="0.74803149606299213" header="0.31496062992125984" footer="0.31496062992125984"/>
  <pageSetup paperSize="9" scale="34" fitToHeight="0" orientation="landscape" r:id="rId1"/>
  <ignoredErrors>
    <ignoredError sqref="AD22:AE22 AB22:AC22" formula="1"/>
    <ignoredError sqref="L23:L4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4"/>
  <sheetViews>
    <sheetView view="pageBreakPreview" topLeftCell="A11" zoomScale="70" zoomScaleNormal="70" zoomScaleSheetLayoutView="70" workbookViewId="0">
      <selection activeCell="C20" sqref="C20"/>
    </sheetView>
  </sheetViews>
  <sheetFormatPr defaultColWidth="8.83203125" defaultRowHeight="18" x14ac:dyDescent="0.55000000000000004"/>
  <cols>
    <col min="1" max="1" width="7.33203125" style="27" customWidth="1"/>
    <col min="2" max="2" width="6.9140625" style="27" customWidth="1"/>
    <col min="3" max="8" width="9.5" style="27" customWidth="1"/>
    <col min="9" max="9" width="11.08203125" style="27" customWidth="1"/>
    <col min="10" max="16" width="9.5" style="27" customWidth="1"/>
    <col min="17" max="18" width="10.83203125" style="27" customWidth="1"/>
    <col min="19" max="19" width="7" style="27" bestFit="1" customWidth="1"/>
    <col min="20" max="24" width="9.1640625" style="27" customWidth="1"/>
    <col min="25" max="30" width="9.5" style="27" customWidth="1"/>
    <col min="31" max="41" width="9.1640625" style="27" customWidth="1"/>
    <col min="42" max="16384" width="8.83203125" style="27"/>
  </cols>
  <sheetData>
    <row r="1" spans="1:41" ht="29" x14ac:dyDescent="0.85">
      <c r="A1" s="26" t="s">
        <v>532</v>
      </c>
      <c r="F1" s="298"/>
      <c r="G1" s="285"/>
      <c r="H1" s="292"/>
      <c r="I1" s="296"/>
      <c r="J1" s="292"/>
      <c r="K1" s="292"/>
      <c r="L1" s="297"/>
      <c r="M1" s="292"/>
    </row>
    <row r="2" spans="1:41" x14ac:dyDescent="0.55000000000000004">
      <c r="A2" s="27" t="s">
        <v>147</v>
      </c>
    </row>
    <row r="3" spans="1:41" x14ac:dyDescent="0.55000000000000004">
      <c r="D3" s="680" t="s">
        <v>22</v>
      </c>
      <c r="E3" s="681"/>
      <c r="F3" s="167" t="s">
        <v>23</v>
      </c>
      <c r="G3" s="155" t="s">
        <v>24</v>
      </c>
      <c r="H3" s="155" t="s">
        <v>25</v>
      </c>
      <c r="I3" s="155" t="s">
        <v>26</v>
      </c>
      <c r="J3" s="180" t="s">
        <v>27</v>
      </c>
      <c r="L3" s="299"/>
      <c r="M3" s="635" t="s">
        <v>440</v>
      </c>
      <c r="N3" s="636"/>
      <c r="O3" s="636"/>
      <c r="P3" s="636"/>
      <c r="Q3" s="636"/>
      <c r="R3" s="636"/>
      <c r="S3" s="636"/>
      <c r="T3" s="636"/>
      <c r="U3" s="637"/>
    </row>
    <row r="4" spans="1:41" x14ac:dyDescent="0.55000000000000004">
      <c r="D4" s="682" t="s">
        <v>104</v>
      </c>
      <c r="E4" s="683"/>
      <c r="F4" s="195" t="s">
        <v>9</v>
      </c>
      <c r="G4" s="102">
        <f>V19</f>
        <v>0</v>
      </c>
      <c r="H4" s="102">
        <f>AJ19</f>
        <v>0</v>
      </c>
      <c r="I4" s="332">
        <f>G4-H4</f>
        <v>0</v>
      </c>
      <c r="J4" s="22">
        <f>IF(OR(G4=0,I4=0),0,I4/G4)</f>
        <v>0</v>
      </c>
      <c r="L4" s="81"/>
      <c r="M4" s="657"/>
      <c r="N4" s="658"/>
      <c r="O4" s="658"/>
      <c r="P4" s="658"/>
      <c r="Q4" s="658"/>
      <c r="R4" s="658"/>
      <c r="S4" s="658"/>
      <c r="T4" s="658"/>
      <c r="U4" s="659"/>
    </row>
    <row r="5" spans="1:41" x14ac:dyDescent="0.55000000000000004">
      <c r="D5" s="682" t="s">
        <v>3</v>
      </c>
      <c r="E5" s="683"/>
      <c r="F5" s="156" t="s">
        <v>30</v>
      </c>
      <c r="G5" s="310" t="str">
        <f>W19</f>
        <v>ー</v>
      </c>
      <c r="H5" s="311" t="str">
        <f>AK19</f>
        <v>ー</v>
      </c>
      <c r="I5" s="310" t="str">
        <f>IF(OR(G5="ー",H5="ー"),"ー",G5-H5)</f>
        <v>ー</v>
      </c>
      <c r="J5" s="294" t="str">
        <f>IF(OR(G5="ー",I5="ー"),"ー",I5/G5)</f>
        <v>ー</v>
      </c>
      <c r="L5" s="37"/>
    </row>
    <row r="6" spans="1:41" x14ac:dyDescent="0.55000000000000004">
      <c r="D6" s="682" t="s">
        <v>148</v>
      </c>
      <c r="E6" s="683"/>
      <c r="F6" s="212" t="s">
        <v>32</v>
      </c>
      <c r="G6" s="467">
        <f>X19</f>
        <v>0</v>
      </c>
      <c r="H6" s="467">
        <f>AL19</f>
        <v>0</v>
      </c>
      <c r="I6" s="468">
        <f>G6-H6</f>
        <v>0</v>
      </c>
      <c r="J6" s="22">
        <f>IF(OR(G6=0,I6=0),0,I6/G6)</f>
        <v>0</v>
      </c>
      <c r="M6" s="684" t="s">
        <v>444</v>
      </c>
      <c r="N6" s="704"/>
      <c r="O6" s="704"/>
      <c r="P6" s="704"/>
      <c r="Q6" s="704"/>
      <c r="R6" s="704"/>
      <c r="S6" s="704"/>
      <c r="T6" s="704"/>
      <c r="U6" s="685"/>
    </row>
    <row r="7" spans="1:41" ht="18" customHeight="1" x14ac:dyDescent="0.55000000000000004">
      <c r="M7" s="689" t="s">
        <v>443</v>
      </c>
      <c r="N7" s="690"/>
      <c r="O7" s="253" t="s">
        <v>271</v>
      </c>
      <c r="P7" s="254"/>
      <c r="Q7" s="253" t="s">
        <v>25</v>
      </c>
      <c r="R7" s="254"/>
      <c r="S7" s="695" t="str">
        <f>IF(OR(O9&lt;Q9,P9&lt;R9),"やむを得ず増加する場合は特記事項欄に理由を記載してください。(要根拠資料提出)",IF(OR(O9&gt;Q9,P9&gt;R9),"減少する理由を特記事項欄に記載してください。","ー"))</f>
        <v>ー</v>
      </c>
      <c r="T7" s="696"/>
      <c r="U7" s="697"/>
    </row>
    <row r="8" spans="1:41" x14ac:dyDescent="0.55000000000000004">
      <c r="C8" s="37"/>
      <c r="D8" s="37"/>
      <c r="E8" s="37"/>
      <c r="F8" s="37"/>
      <c r="G8" s="37"/>
      <c r="H8" s="37"/>
      <c r="I8" s="37"/>
      <c r="J8" s="37"/>
      <c r="M8" s="691"/>
      <c r="N8" s="692"/>
      <c r="O8" s="252" t="s">
        <v>413</v>
      </c>
      <c r="P8" s="252" t="s">
        <v>19</v>
      </c>
      <c r="Q8" s="252" t="s">
        <v>413</v>
      </c>
      <c r="R8" s="252" t="s">
        <v>19</v>
      </c>
      <c r="S8" s="698"/>
      <c r="T8" s="699"/>
      <c r="U8" s="700"/>
    </row>
    <row r="9" spans="1:41" x14ac:dyDescent="0.55000000000000004">
      <c r="C9" s="37"/>
      <c r="D9" s="299"/>
      <c r="E9" s="300"/>
      <c r="F9" s="37"/>
      <c r="G9" s="37"/>
      <c r="H9" s="37"/>
      <c r="I9" s="37"/>
      <c r="J9" s="37"/>
      <c r="M9" s="668" t="s">
        <v>274</v>
      </c>
      <c r="N9" s="669"/>
      <c r="O9" s="24">
        <f>SUMPRODUCT(($L$20:$L$34=O8)*($L$20:$L$34=O8),$K$20:$K$34*$F$20:$F$34)</f>
        <v>0</v>
      </c>
      <c r="P9" s="24">
        <f>SUMPRODUCT(($L$20:$L$34=P8)*($L$20:$L$34=P8),$K$20:$K$34*$F$20:$F$34)</f>
        <v>0</v>
      </c>
      <c r="Q9" s="24">
        <f>SUMPRODUCT(($AC$20:$AC$34=Q8)*($AC$20:$AC$34=Q8),$AB$20:$AB$34*$Z$20:$Z$34)</f>
        <v>0</v>
      </c>
      <c r="R9" s="24">
        <f>SUMPRODUCT(($AC$20:$AC$34=R8)*($AC$20:$AC$34=R8),$AB$20:$AB$34*$Z$20:$Z$34)</f>
        <v>0</v>
      </c>
      <c r="S9" s="701"/>
      <c r="T9" s="702"/>
      <c r="U9" s="703"/>
    </row>
    <row r="10" spans="1:41" x14ac:dyDescent="0.55000000000000004">
      <c r="A10" s="43"/>
      <c r="C10" s="37"/>
      <c r="D10" s="81"/>
      <c r="E10" s="37"/>
      <c r="F10" s="37"/>
      <c r="G10" s="37"/>
      <c r="H10" s="37"/>
      <c r="I10" s="37"/>
      <c r="J10" s="37"/>
      <c r="M10" s="34"/>
      <c r="N10" s="34"/>
      <c r="O10" s="34"/>
      <c r="P10" s="34"/>
      <c r="Q10" s="34"/>
    </row>
    <row r="11" spans="1:41" x14ac:dyDescent="0.55000000000000004">
      <c r="A11" s="43"/>
      <c r="B11" s="84"/>
      <c r="C11" s="81"/>
      <c r="D11" s="34"/>
      <c r="E11" s="34"/>
      <c r="F11" s="34"/>
      <c r="G11" s="34"/>
      <c r="H11" s="34"/>
    </row>
    <row r="12" spans="1:41" x14ac:dyDescent="0.55000000000000004">
      <c r="A12" s="43"/>
      <c r="B12" s="85"/>
      <c r="C12" s="81"/>
      <c r="D12" s="34"/>
      <c r="E12" s="34"/>
      <c r="F12" s="34"/>
      <c r="G12" s="34"/>
      <c r="H12" s="34"/>
      <c r="R12" s="81"/>
      <c r="S12" s="34"/>
      <c r="T12" s="34"/>
      <c r="U12" s="34"/>
      <c r="V12" s="34"/>
      <c r="W12" s="34"/>
    </row>
    <row r="13" spans="1:41" x14ac:dyDescent="0.55000000000000004">
      <c r="B13" s="85"/>
    </row>
    <row r="14" spans="1:41" x14ac:dyDescent="0.55000000000000004">
      <c r="A14" s="27" t="s">
        <v>33</v>
      </c>
    </row>
    <row r="15" spans="1:41" x14ac:dyDescent="0.55000000000000004">
      <c r="B15" s="693" t="s">
        <v>22</v>
      </c>
      <c r="C15" s="225" t="s">
        <v>24</v>
      </c>
      <c r="D15" s="231"/>
      <c r="E15" s="231"/>
      <c r="F15" s="231"/>
      <c r="G15" s="231"/>
      <c r="H15" s="231"/>
      <c r="I15" s="231"/>
      <c r="J15" s="231"/>
      <c r="K15" s="231"/>
      <c r="L15" s="231"/>
      <c r="M15" s="288"/>
      <c r="N15" s="288"/>
      <c r="O15" s="288"/>
      <c r="P15" s="288"/>
      <c r="Q15" s="288"/>
      <c r="R15" s="288"/>
      <c r="S15" s="288"/>
      <c r="T15" s="288"/>
      <c r="U15" s="288"/>
      <c r="V15" s="288"/>
      <c r="W15" s="288"/>
      <c r="X15" s="214"/>
      <c r="Y15" s="225" t="s">
        <v>25</v>
      </c>
      <c r="Z15" s="288"/>
      <c r="AA15" s="231"/>
      <c r="AB15" s="231"/>
      <c r="AC15" s="231"/>
      <c r="AD15" s="231"/>
      <c r="AE15" s="288"/>
      <c r="AF15" s="288"/>
      <c r="AG15" s="288"/>
      <c r="AH15" s="288"/>
      <c r="AI15" s="288"/>
      <c r="AJ15" s="288"/>
      <c r="AK15" s="288"/>
      <c r="AL15" s="214"/>
      <c r="AM15" s="289" t="s">
        <v>34</v>
      </c>
      <c r="AN15" s="288"/>
      <c r="AO15" s="214"/>
    </row>
    <row r="16" spans="1:41" ht="54" x14ac:dyDescent="0.55000000000000004">
      <c r="B16" s="694"/>
      <c r="C16" s="181" t="s">
        <v>279</v>
      </c>
      <c r="D16" s="181" t="s">
        <v>504</v>
      </c>
      <c r="E16" s="181" t="s">
        <v>501</v>
      </c>
      <c r="F16" s="475" t="s">
        <v>37</v>
      </c>
      <c r="G16" s="470" t="s">
        <v>133</v>
      </c>
      <c r="H16" s="470" t="s">
        <v>152</v>
      </c>
      <c r="I16" s="476" t="s">
        <v>520</v>
      </c>
      <c r="J16" s="475" t="s">
        <v>507</v>
      </c>
      <c r="K16" s="475" t="s">
        <v>412</v>
      </c>
      <c r="L16" s="475" t="s">
        <v>411</v>
      </c>
      <c r="M16" s="181" t="s">
        <v>154</v>
      </c>
      <c r="N16" s="475" t="s">
        <v>278</v>
      </c>
      <c r="O16" s="475" t="s">
        <v>152</v>
      </c>
      <c r="P16" s="475" t="s">
        <v>922</v>
      </c>
      <c r="Q16" s="475" t="s">
        <v>42</v>
      </c>
      <c r="R16" s="475" t="s">
        <v>898</v>
      </c>
      <c r="S16" s="475" t="s">
        <v>102</v>
      </c>
      <c r="T16" s="475" t="s">
        <v>156</v>
      </c>
      <c r="U16" s="475" t="s">
        <v>157</v>
      </c>
      <c r="V16" s="475" t="s">
        <v>158</v>
      </c>
      <c r="W16" s="475" t="s">
        <v>3</v>
      </c>
      <c r="X16" s="475" t="s">
        <v>159</v>
      </c>
      <c r="Y16" s="181" t="s">
        <v>279</v>
      </c>
      <c r="Z16" s="475" t="s">
        <v>41</v>
      </c>
      <c r="AA16" s="470" t="s">
        <v>133</v>
      </c>
      <c r="AB16" s="475" t="s">
        <v>412</v>
      </c>
      <c r="AC16" s="475" t="s">
        <v>411</v>
      </c>
      <c r="AD16" s="181" t="s">
        <v>154</v>
      </c>
      <c r="AE16" s="475" t="s">
        <v>160</v>
      </c>
      <c r="AF16" s="475" t="s">
        <v>152</v>
      </c>
      <c r="AG16" s="475" t="s">
        <v>899</v>
      </c>
      <c r="AH16" s="475" t="s">
        <v>102</v>
      </c>
      <c r="AI16" s="475" t="s">
        <v>161</v>
      </c>
      <c r="AJ16" s="475" t="s">
        <v>44</v>
      </c>
      <c r="AK16" s="475" t="s">
        <v>3</v>
      </c>
      <c r="AL16" s="475" t="s">
        <v>159</v>
      </c>
      <c r="AM16" s="475" t="s">
        <v>1035</v>
      </c>
      <c r="AN16" s="475" t="s">
        <v>162</v>
      </c>
      <c r="AO16" s="226" t="s">
        <v>3</v>
      </c>
    </row>
    <row r="17" spans="2:54" ht="18" customHeight="1" x14ac:dyDescent="0.55000000000000004">
      <c r="B17" s="194" t="s">
        <v>23</v>
      </c>
      <c r="C17" s="354"/>
      <c r="D17" s="354"/>
      <c r="E17" s="529" t="s">
        <v>1041</v>
      </c>
      <c r="F17" s="250" t="s">
        <v>48</v>
      </c>
      <c r="G17" s="354"/>
      <c r="H17" s="354"/>
      <c r="I17" s="354"/>
      <c r="J17" s="354"/>
      <c r="K17" s="354"/>
      <c r="L17" s="354"/>
      <c r="M17" s="291" t="s">
        <v>163</v>
      </c>
      <c r="N17" s="227" t="str">
        <f>"/(台・h)"</f>
        <v>/(台・h)</v>
      </c>
      <c r="O17" s="354"/>
      <c r="P17" s="250" t="s">
        <v>49</v>
      </c>
      <c r="Q17" s="250" t="s">
        <v>50</v>
      </c>
      <c r="R17" s="250" t="s">
        <v>51</v>
      </c>
      <c r="S17" s="469" t="s">
        <v>163</v>
      </c>
      <c r="T17" s="527" t="s">
        <v>164</v>
      </c>
      <c r="U17" s="527" t="str">
        <f>"/年"</f>
        <v>/年</v>
      </c>
      <c r="V17" s="195" t="s">
        <v>9</v>
      </c>
      <c r="W17" s="195" t="s">
        <v>165</v>
      </c>
      <c r="X17" s="527" t="s">
        <v>32</v>
      </c>
      <c r="Y17" s="354"/>
      <c r="Z17" s="250" t="s">
        <v>48</v>
      </c>
      <c r="AA17" s="354"/>
      <c r="AB17" s="354"/>
      <c r="AC17" s="354"/>
      <c r="AD17" s="194" t="s">
        <v>163</v>
      </c>
      <c r="AE17" s="227" t="str">
        <f>"/(台・h)"</f>
        <v>/(台・h)</v>
      </c>
      <c r="AF17" s="354"/>
      <c r="AG17" s="250" t="s">
        <v>51</v>
      </c>
      <c r="AH17" s="469" t="s">
        <v>163</v>
      </c>
      <c r="AI17" s="213" t="str">
        <f>"/年"</f>
        <v>/年</v>
      </c>
      <c r="AJ17" s="195" t="s">
        <v>9</v>
      </c>
      <c r="AK17" s="195" t="s">
        <v>165</v>
      </c>
      <c r="AL17" s="250" t="s">
        <v>32</v>
      </c>
      <c r="AM17" s="527" t="s">
        <v>928</v>
      </c>
      <c r="AN17" s="195" t="s">
        <v>9</v>
      </c>
      <c r="AO17" s="195" t="s">
        <v>165</v>
      </c>
      <c r="AQ17" s="24" t="s">
        <v>24</v>
      </c>
      <c r="AR17" s="24"/>
      <c r="AS17" s="24"/>
      <c r="AT17" s="24" t="s">
        <v>454</v>
      </c>
      <c r="AU17" s="24"/>
      <c r="AV17" s="24"/>
      <c r="AW17" s="3" t="s">
        <v>25</v>
      </c>
      <c r="AX17" s="24"/>
      <c r="AY17" s="24"/>
      <c r="AZ17" s="24" t="s">
        <v>454</v>
      </c>
      <c r="BA17" s="24"/>
      <c r="BB17" s="24"/>
    </row>
    <row r="18" spans="2:54" x14ac:dyDescent="0.55000000000000004">
      <c r="B18" s="307" t="s">
        <v>266</v>
      </c>
      <c r="C18" s="329" t="s">
        <v>498</v>
      </c>
      <c r="D18" s="329" t="s">
        <v>505</v>
      </c>
      <c r="E18" s="329">
        <v>2008</v>
      </c>
      <c r="F18" s="187">
        <v>2</v>
      </c>
      <c r="G18" s="308" t="s">
        <v>6</v>
      </c>
      <c r="H18" s="321" t="str">
        <f>AS18</f>
        <v>kWh</v>
      </c>
      <c r="I18" s="331">
        <f>IF(D18="給湯器（HP）",IF(E18="",1,MIN(1.5,(2023-E18)*0.05+1)),"ー")</f>
        <v>1.5</v>
      </c>
      <c r="J18" s="331" t="str">
        <f>IF(OR(D18="",D18="給湯器（HP）"),"ー",0.1)</f>
        <v>ー</v>
      </c>
      <c r="K18" s="490">
        <v>40</v>
      </c>
      <c r="L18" s="307" t="s">
        <v>476</v>
      </c>
      <c r="M18" s="309">
        <f>40/9.43</f>
        <v>4.2417815482502652</v>
      </c>
      <c r="N18" s="187">
        <v>9.43</v>
      </c>
      <c r="O18" s="316" t="str">
        <f>AS18</f>
        <v>kWh</v>
      </c>
      <c r="P18" s="187">
        <v>10</v>
      </c>
      <c r="Q18" s="187">
        <v>365</v>
      </c>
      <c r="R18" s="191">
        <f>P18*Q18</f>
        <v>3650</v>
      </c>
      <c r="S18" s="485">
        <v>0.4</v>
      </c>
      <c r="T18" s="514">
        <f>IF(M18&gt;0,N18*M18*S18*AU18,0)</f>
        <v>159.52000000000001</v>
      </c>
      <c r="U18" s="318">
        <f>IF(R18=0,0,IF(D18="給湯器（HP）",N18*F18*R18*S18*I18,N18*F18*R18*S18/(1-J18)))</f>
        <v>41303.4</v>
      </c>
      <c r="V18" s="192">
        <f>U18*AQ18</f>
        <v>18.875653800000002</v>
      </c>
      <c r="W18" s="317" t="s">
        <v>1090</v>
      </c>
      <c r="X18" s="552">
        <f>(U18*$AU18)*0.0000258</f>
        <v>10.624308368400001</v>
      </c>
      <c r="Y18" s="326" t="s">
        <v>496</v>
      </c>
      <c r="Z18" s="187">
        <v>2</v>
      </c>
      <c r="AA18" s="308" t="s">
        <v>6</v>
      </c>
      <c r="AB18" s="490">
        <v>40</v>
      </c>
      <c r="AC18" s="307" t="s">
        <v>476</v>
      </c>
      <c r="AD18" s="309">
        <f>40/9.43</f>
        <v>4.2417815482502652</v>
      </c>
      <c r="AE18" s="517">
        <f>IF(AD18&gt;0,T18/BA18/AD18/AH18,0)</f>
        <v>9.43</v>
      </c>
      <c r="AF18" s="316" t="str">
        <f>AY18</f>
        <v>kWh</v>
      </c>
      <c r="AG18" s="191">
        <f>R18</f>
        <v>3650</v>
      </c>
      <c r="AH18" s="487">
        <f>IF(Z18="",0,S18*(K18*F18)/(AB18*Z18))</f>
        <v>0.4</v>
      </c>
      <c r="AI18" s="191">
        <f>AE18*Z18*AG18*AH18</f>
        <v>27535.600000000002</v>
      </c>
      <c r="AJ18" s="192">
        <f>AI18*AW18</f>
        <v>12.583769200000001</v>
      </c>
      <c r="AK18" s="317" t="s">
        <v>1090</v>
      </c>
      <c r="AL18" s="552">
        <f>(AI18*$BA18)*0.0000258</f>
        <v>7.0828722456000008</v>
      </c>
      <c r="AM18" s="550">
        <f>X18-AL18</f>
        <v>3.5414361228000004</v>
      </c>
      <c r="AN18" s="539">
        <f>V18-AJ18</f>
        <v>6.2918846000000013</v>
      </c>
      <c r="AO18" s="317" t="str">
        <f>IF(OR(W18="ー",AK18="ー"),"ー",W18-AK18)</f>
        <v>ー</v>
      </c>
      <c r="AQ18" s="24">
        <f>IFERROR(VLOOKUP(G18,係数!$B$3:$I$30,7,FALSE),0)</f>
        <v>4.57E-4</v>
      </c>
      <c r="AR18" s="24" t="str">
        <f>IFERROR(VLOOKUP(G18,係数!$B$3:$I$30,8,FALSE),"")</f>
        <v>tCO2/kWh</v>
      </c>
      <c r="AS18" s="86" t="str">
        <f>IFERROR(VLOOKUP(G18,係数!$B$3:$I$30,4,FALSE),"")</f>
        <v>kWh</v>
      </c>
      <c r="AT18" s="24" t="str">
        <f>IFERROR(VLOOKUP(G18,使用量と光熱費!$C$6:$I$10,6,FALSE),0)</f>
        <v>円/年</v>
      </c>
      <c r="AU18" s="24">
        <f>IFERROR(VLOOKUP(G18,係数!$B$3:$I$30,2,FALSE),0)</f>
        <v>9.9700000000000006</v>
      </c>
      <c r="AV18" s="24">
        <f>IF(G18="電気",3.6,AU18)</f>
        <v>3.6</v>
      </c>
      <c r="AW18" s="3">
        <f>IFERROR(VLOOKUP(AA18,係数!$B$3:$I$30,7,FALSE),0)</f>
        <v>4.57E-4</v>
      </c>
      <c r="AX18" s="24" t="str">
        <f>IFERROR(VLOOKUP(AA18,係数!$B$3:$I$30,8,FALSE),"")</f>
        <v>tCO2/kWh</v>
      </c>
      <c r="AY18" s="24" t="str">
        <f>IFERROR(VLOOKUP(AA18,係数!$B$3:$I$30,4,FALSE),"")</f>
        <v>kWh</v>
      </c>
      <c r="AZ18" s="24" t="str">
        <f>IFERROR(VLOOKUP(AA18,使用量と光熱費!$C$6:$I$10,6,FALSE),0)</f>
        <v>円/年</v>
      </c>
      <c r="BA18" s="24">
        <f>IFERROR(VLOOKUP(AA18,係数!$B$3:$I$30,2,FALSE),0)</f>
        <v>9.9700000000000006</v>
      </c>
      <c r="BB18" s="24">
        <f>IF(AA18="電気",3.6,BA18)</f>
        <v>3.6</v>
      </c>
    </row>
    <row r="19" spans="2:54" x14ac:dyDescent="0.55000000000000004">
      <c r="B19" s="459" t="s">
        <v>18</v>
      </c>
      <c r="C19" s="132"/>
      <c r="D19" s="132"/>
      <c r="E19" s="132"/>
      <c r="F19" s="44">
        <f>SUM(F20:F34)</f>
        <v>0</v>
      </c>
      <c r="G19" s="132"/>
      <c r="H19" s="132"/>
      <c r="I19" s="135"/>
      <c r="J19" s="132"/>
      <c r="K19" s="132"/>
      <c r="L19" s="133"/>
      <c r="M19" s="132"/>
      <c r="N19" s="134"/>
      <c r="O19" s="135"/>
      <c r="P19" s="135"/>
      <c r="Q19" s="135"/>
      <c r="R19" s="133"/>
      <c r="S19" s="486"/>
      <c r="T19" s="515">
        <f>SUM(T20:T34)</f>
        <v>0</v>
      </c>
      <c r="U19" s="44">
        <f>IF(R19=0,0,IF(D19="給湯器（HP）",N19*F19*R19*I19,N19*F19*R19/(1-J19)))</f>
        <v>0</v>
      </c>
      <c r="V19" s="94">
        <f>SUM(V20:V34)</f>
        <v>0</v>
      </c>
      <c r="W19" s="306" t="str">
        <f>IF(SUM(W20:W34)=0,"ー",SUM(W20:W34))</f>
        <v>ー</v>
      </c>
      <c r="X19" s="553">
        <f>SUM(X20:X34)</f>
        <v>0</v>
      </c>
      <c r="Y19" s="135"/>
      <c r="Z19" s="44">
        <f>SUM(Z20:Z34)</f>
        <v>0</v>
      </c>
      <c r="AA19" s="135"/>
      <c r="AB19" s="132"/>
      <c r="AC19" s="133"/>
      <c r="AD19" s="132"/>
      <c r="AE19" s="518"/>
      <c r="AF19" s="135"/>
      <c r="AG19" s="133"/>
      <c r="AH19" s="488"/>
      <c r="AI19" s="44">
        <f>SUM(AI20:AI34)</f>
        <v>0</v>
      </c>
      <c r="AJ19" s="94">
        <f>SUM(AJ20:AJ34)</f>
        <v>0</v>
      </c>
      <c r="AK19" s="306" t="str">
        <f>IF(SUM(AK20:AK34)=0,"ー",SUM(AK20:AK34))</f>
        <v>ー</v>
      </c>
      <c r="AL19" s="553">
        <f>SUM(AL20:AL34)</f>
        <v>0</v>
      </c>
      <c r="AM19" s="555">
        <f>SUM(AM20:AM34)</f>
        <v>0</v>
      </c>
      <c r="AN19" s="556">
        <f>SUM(AN20:AN34)</f>
        <v>0</v>
      </c>
      <c r="AO19" s="306" t="str">
        <f>IF(SUM(AO20:AO34)=0,"ー",SUM(AO20:AO34))</f>
        <v>ー</v>
      </c>
      <c r="AQ19" s="255" t="s">
        <v>135</v>
      </c>
      <c r="AR19" s="24"/>
      <c r="AS19" s="24" t="s">
        <v>149</v>
      </c>
      <c r="AT19" s="24" t="s">
        <v>137</v>
      </c>
      <c r="AU19" s="36" t="s">
        <v>150</v>
      </c>
      <c r="AV19" s="36" t="s">
        <v>166</v>
      </c>
      <c r="AW19" s="255" t="s">
        <v>135</v>
      </c>
      <c r="AX19" s="24"/>
      <c r="AY19" s="24" t="s">
        <v>149</v>
      </c>
      <c r="AZ19" s="24" t="s">
        <v>137</v>
      </c>
      <c r="BA19" s="36" t="s">
        <v>150</v>
      </c>
      <c r="BB19" s="36" t="s">
        <v>166</v>
      </c>
    </row>
    <row r="20" spans="2:54" x14ac:dyDescent="0.55000000000000004">
      <c r="B20" s="194" t="s">
        <v>167</v>
      </c>
      <c r="C20" s="2"/>
      <c r="D20" s="10"/>
      <c r="E20" s="2"/>
      <c r="F20" s="2"/>
      <c r="G20" s="46"/>
      <c r="H20" s="431" t="str">
        <f>AS20</f>
        <v/>
      </c>
      <c r="I20" s="432" t="str">
        <f t="shared" ref="I20:I34" si="0">IF(D20="給湯器（HP）",IF(E20="",1,MIN(1.5,(2023-E20)*0.05+1)),"ー")</f>
        <v>ー</v>
      </c>
      <c r="J20" s="432" t="str">
        <f>IF(OR(D20="",D20="給湯器（HP）"),"ー",0.1)</f>
        <v>ー</v>
      </c>
      <c r="K20" s="491"/>
      <c r="L20" s="453"/>
      <c r="M20" s="47"/>
      <c r="N20" s="2"/>
      <c r="O20" s="433" t="str">
        <f t="shared" ref="O20:O26" si="1">AS20</f>
        <v/>
      </c>
      <c r="P20" s="2"/>
      <c r="Q20" s="2"/>
      <c r="R20" s="48">
        <f>P20*Q20</f>
        <v>0</v>
      </c>
      <c r="S20" s="47"/>
      <c r="T20" s="516">
        <f t="shared" ref="T20:T34" si="2">IF(M20&gt;0,N20*M20*S20*AU20,0)</f>
        <v>0</v>
      </c>
      <c r="U20" s="48">
        <f t="shared" ref="U20:U34" si="3">IF(R20=0,0,IF(D20="給湯器（HP）",N20*F20*R20*S20*I20,N20*F20*R20*S20/(1-J20)))</f>
        <v>0</v>
      </c>
      <c r="V20" s="95">
        <f t="shared" ref="V20:V34" si="4">U20*AQ20</f>
        <v>0</v>
      </c>
      <c r="W20" s="306" t="str">
        <f>IF($AT20=0,"ー",U20*$AT20)</f>
        <v>ー</v>
      </c>
      <c r="X20" s="554">
        <f t="shared" ref="X20:X34" si="5">(U20*$AU20)*0.0000258</f>
        <v>0</v>
      </c>
      <c r="Y20" s="2"/>
      <c r="Z20" s="2"/>
      <c r="AA20" s="46"/>
      <c r="AB20" s="491"/>
      <c r="AC20" s="453"/>
      <c r="AD20" s="47"/>
      <c r="AE20" s="519">
        <f t="shared" ref="AE20:AE34" si="6">IF(AD20&gt;0,T20/BA20/AD20/AH20,0)</f>
        <v>0</v>
      </c>
      <c r="AF20" s="433" t="str">
        <f>AY20</f>
        <v/>
      </c>
      <c r="AG20" s="48">
        <f>R20</f>
        <v>0</v>
      </c>
      <c r="AH20" s="489">
        <f>IF(OR(Z20="",AB20=""),0,S20*(K20*F20)/(AB20*Z20))</f>
        <v>0</v>
      </c>
      <c r="AI20" s="48">
        <f t="shared" ref="AI20:AI34" si="7">AE20*Z20*AG20*AH20</f>
        <v>0</v>
      </c>
      <c r="AJ20" s="95">
        <f>AI20*AW20</f>
        <v>0</v>
      </c>
      <c r="AK20" s="306" t="str">
        <f>IF($AZ20=0,"ー",AI20*$AZ20)</f>
        <v>ー</v>
      </c>
      <c r="AL20" s="554">
        <f>(AI20*$BA20)*0.0000258</f>
        <v>0</v>
      </c>
      <c r="AM20" s="557">
        <f t="shared" ref="AM20:AM34" si="8">X20-AL20</f>
        <v>0</v>
      </c>
      <c r="AN20" s="558">
        <f t="shared" ref="AN20:AN34" si="9">V20-AJ20</f>
        <v>0</v>
      </c>
      <c r="AO20" s="306" t="str">
        <f t="shared" ref="AO20:AO34" si="10">IF(OR(W20="ー",AK20="ー"),"ー",W20-AK20)</f>
        <v>ー</v>
      </c>
      <c r="AQ20" s="24">
        <f>IFERROR(VLOOKUP(G20,係数!$B$3:$I$30,7,FALSE),0)</f>
        <v>0</v>
      </c>
      <c r="AR20" s="24" t="str">
        <f>IFERROR(VLOOKUP(G20,係数!$B$3:$I$30,8,FALSE),"")</f>
        <v/>
      </c>
      <c r="AS20" s="24" t="str">
        <f>IFERROR(VLOOKUP(G20,係数!$B$3:$I$30,4,FALSE),"")</f>
        <v/>
      </c>
      <c r="AT20" s="24">
        <f>IFERROR(VLOOKUP(G20,使用量と光熱費!$C$6:$I$10,7,FALSE),0)</f>
        <v>0</v>
      </c>
      <c r="AU20" s="24">
        <f>IFERROR(VLOOKUP(G20,係数!$B$3:$I$30,2,FALSE),0)</f>
        <v>0</v>
      </c>
      <c r="AV20" s="24">
        <f t="shared" ref="AV20:AV34" si="11">IF(G20="電気",3.6,AU20)</f>
        <v>0</v>
      </c>
      <c r="AW20" s="24">
        <f>IFERROR(VLOOKUP(AA20,係数!$B$3:$I$30,7,FALSE),0)</f>
        <v>0</v>
      </c>
      <c r="AX20" s="24" t="str">
        <f>IFERROR(VLOOKUP(AA20,係数!$B$3:$I$30,8,FALSE),"")</f>
        <v/>
      </c>
      <c r="AY20" s="24" t="str">
        <f>IFERROR(VLOOKUP(AA20,係数!$B$3:$I$30,4,FALSE),"")</f>
        <v/>
      </c>
      <c r="AZ20" s="24">
        <f>IFERROR(VLOOKUP(AA20,使用量と光熱費!$C$6:$I$10,7,FALSE),0)</f>
        <v>0</v>
      </c>
      <c r="BA20" s="24">
        <f>IFERROR(VLOOKUP(AA20,係数!$B$3:$I$30,2,FALSE),0)</f>
        <v>0</v>
      </c>
      <c r="BB20" s="24">
        <f t="shared" ref="BB20:BB34" si="12">IF(AA20="電気",3.6,BA20)</f>
        <v>0</v>
      </c>
    </row>
    <row r="21" spans="2:54" x14ac:dyDescent="0.55000000000000004">
      <c r="B21" s="194" t="s">
        <v>168</v>
      </c>
      <c r="C21" s="2"/>
      <c r="D21" s="10"/>
      <c r="E21" s="2"/>
      <c r="F21" s="2"/>
      <c r="G21" s="46"/>
      <c r="H21" s="431" t="str">
        <f>AS21</f>
        <v/>
      </c>
      <c r="I21" s="432" t="str">
        <f t="shared" si="0"/>
        <v>ー</v>
      </c>
      <c r="J21" s="432" t="str">
        <f t="shared" ref="J21:J34" si="13">IF(OR(D21="",D21="給湯器（HP）"),"ー",0.1)</f>
        <v>ー</v>
      </c>
      <c r="K21" s="491"/>
      <c r="L21" s="453"/>
      <c r="M21" s="47"/>
      <c r="N21" s="2"/>
      <c r="O21" s="433" t="str">
        <f t="shared" si="1"/>
        <v/>
      </c>
      <c r="P21" s="2"/>
      <c r="Q21" s="2"/>
      <c r="R21" s="48">
        <f t="shared" ref="R21:R34" si="14">P21*Q21</f>
        <v>0</v>
      </c>
      <c r="S21" s="47"/>
      <c r="T21" s="516">
        <f t="shared" si="2"/>
        <v>0</v>
      </c>
      <c r="U21" s="48">
        <f t="shared" si="3"/>
        <v>0</v>
      </c>
      <c r="V21" s="95">
        <f t="shared" si="4"/>
        <v>0</v>
      </c>
      <c r="W21" s="306" t="str">
        <f t="shared" ref="W21:W34" si="15">IF($AT21=0,"ー",U21*$AT21)</f>
        <v>ー</v>
      </c>
      <c r="X21" s="554">
        <f t="shared" si="5"/>
        <v>0</v>
      </c>
      <c r="Y21" s="2"/>
      <c r="Z21" s="2"/>
      <c r="AA21" s="46"/>
      <c r="AB21" s="491"/>
      <c r="AC21" s="453"/>
      <c r="AD21" s="47"/>
      <c r="AE21" s="519">
        <f t="shared" si="6"/>
        <v>0</v>
      </c>
      <c r="AF21" s="433" t="str">
        <f t="shared" ref="AF21:AF34" si="16">AY21</f>
        <v/>
      </c>
      <c r="AG21" s="48">
        <f t="shared" ref="AG21:AG34" si="17">R21</f>
        <v>0</v>
      </c>
      <c r="AH21" s="489">
        <f t="shared" ref="AH21:AH34" si="18">IF(OR(Z21="",AB21=""),0,S21*(K21*F21)/(AB21*Z21))</f>
        <v>0</v>
      </c>
      <c r="AI21" s="48">
        <f t="shared" si="7"/>
        <v>0</v>
      </c>
      <c r="AJ21" s="95">
        <f t="shared" ref="AJ21:AJ34" si="19">AI21*AW21</f>
        <v>0</v>
      </c>
      <c r="AK21" s="306" t="str">
        <f t="shared" ref="AK21:AK34" si="20">IF($AZ21=0,"ー",AI21*$AZ21)</f>
        <v>ー</v>
      </c>
      <c r="AL21" s="554">
        <f t="shared" ref="AL21:AL34" si="21">(AI21*$BA21)*0.0000258</f>
        <v>0</v>
      </c>
      <c r="AM21" s="557">
        <f t="shared" si="8"/>
        <v>0</v>
      </c>
      <c r="AN21" s="558">
        <f t="shared" si="9"/>
        <v>0</v>
      </c>
      <c r="AO21" s="306" t="str">
        <f t="shared" si="10"/>
        <v>ー</v>
      </c>
      <c r="AQ21" s="24">
        <f>IFERROR(VLOOKUP(G21,係数!$B$3:$I$30,7,FALSE),0)</f>
        <v>0</v>
      </c>
      <c r="AR21" s="24" t="str">
        <f>IFERROR(VLOOKUP(G21,係数!$B$3:$I$30,8,FALSE),"")</f>
        <v/>
      </c>
      <c r="AS21" s="24" t="str">
        <f>IFERROR(VLOOKUP(G21,係数!$B$3:$I$30,4,FALSE),"")</f>
        <v/>
      </c>
      <c r="AT21" s="24">
        <f>IFERROR(VLOOKUP(G21,使用量と光熱費!$C$6:$I$10,7,FALSE),0)</f>
        <v>0</v>
      </c>
      <c r="AU21" s="24">
        <f>IFERROR(VLOOKUP(G21,係数!$B$3:$I$30,2,FALSE),0)</f>
        <v>0</v>
      </c>
      <c r="AV21" s="24">
        <f t="shared" si="11"/>
        <v>0</v>
      </c>
      <c r="AW21" s="24">
        <f>IFERROR(VLOOKUP(AA21,係数!$B$3:$I$30,7,FALSE),0)</f>
        <v>0</v>
      </c>
      <c r="AX21" s="24" t="str">
        <f>IFERROR(VLOOKUP(AA21,係数!$B$3:$I$30,8,FALSE),"")</f>
        <v/>
      </c>
      <c r="AY21" s="24" t="str">
        <f>IFERROR(VLOOKUP(AA21,係数!$B$3:$I$30,4,FALSE),"")</f>
        <v/>
      </c>
      <c r="AZ21" s="24">
        <f>IFERROR(VLOOKUP(AA21,使用量と光熱費!$C$6:$I$10,7,FALSE),0)</f>
        <v>0</v>
      </c>
      <c r="BA21" s="24">
        <f>IFERROR(VLOOKUP(AA21,係数!$B$3:$I$30,2,FALSE),0)</f>
        <v>0</v>
      </c>
      <c r="BB21" s="24">
        <f t="shared" si="12"/>
        <v>0</v>
      </c>
    </row>
    <row r="22" spans="2:54" x14ac:dyDescent="0.55000000000000004">
      <c r="B22" s="194" t="s">
        <v>169</v>
      </c>
      <c r="C22" s="2"/>
      <c r="D22" s="10"/>
      <c r="E22" s="2"/>
      <c r="F22" s="2"/>
      <c r="G22" s="46"/>
      <c r="H22" s="431" t="str">
        <f t="shared" ref="H22:H34" si="22">AS22</f>
        <v/>
      </c>
      <c r="I22" s="432" t="str">
        <f t="shared" si="0"/>
        <v>ー</v>
      </c>
      <c r="J22" s="432" t="str">
        <f t="shared" si="13"/>
        <v>ー</v>
      </c>
      <c r="K22" s="491"/>
      <c r="L22" s="453"/>
      <c r="M22" s="47"/>
      <c r="N22" s="2"/>
      <c r="O22" s="433" t="str">
        <f t="shared" si="1"/>
        <v/>
      </c>
      <c r="P22" s="2"/>
      <c r="Q22" s="2"/>
      <c r="R22" s="48">
        <f t="shared" si="14"/>
        <v>0</v>
      </c>
      <c r="S22" s="47"/>
      <c r="T22" s="516">
        <f t="shared" si="2"/>
        <v>0</v>
      </c>
      <c r="U22" s="48">
        <f t="shared" si="3"/>
        <v>0</v>
      </c>
      <c r="V22" s="95">
        <f t="shared" si="4"/>
        <v>0</v>
      </c>
      <c r="W22" s="306" t="str">
        <f t="shared" si="15"/>
        <v>ー</v>
      </c>
      <c r="X22" s="554">
        <f t="shared" si="5"/>
        <v>0</v>
      </c>
      <c r="Y22" s="2"/>
      <c r="Z22" s="2"/>
      <c r="AA22" s="46"/>
      <c r="AB22" s="491"/>
      <c r="AC22" s="453"/>
      <c r="AD22" s="47"/>
      <c r="AE22" s="519">
        <f t="shared" si="6"/>
        <v>0</v>
      </c>
      <c r="AF22" s="433" t="str">
        <f t="shared" si="16"/>
        <v/>
      </c>
      <c r="AG22" s="48">
        <f t="shared" si="17"/>
        <v>0</v>
      </c>
      <c r="AH22" s="489">
        <f t="shared" si="18"/>
        <v>0</v>
      </c>
      <c r="AI22" s="48">
        <f t="shared" si="7"/>
        <v>0</v>
      </c>
      <c r="AJ22" s="95">
        <f t="shared" si="19"/>
        <v>0</v>
      </c>
      <c r="AK22" s="306" t="str">
        <f t="shared" si="20"/>
        <v>ー</v>
      </c>
      <c r="AL22" s="554">
        <f t="shared" si="21"/>
        <v>0</v>
      </c>
      <c r="AM22" s="557">
        <f t="shared" si="8"/>
        <v>0</v>
      </c>
      <c r="AN22" s="558">
        <f t="shared" si="9"/>
        <v>0</v>
      </c>
      <c r="AO22" s="306" t="str">
        <f t="shared" si="10"/>
        <v>ー</v>
      </c>
      <c r="AQ22" s="24">
        <f>IFERROR(VLOOKUP(G22,係数!$B$3:$I$30,7,FALSE),0)</f>
        <v>0</v>
      </c>
      <c r="AR22" s="24" t="str">
        <f>IFERROR(VLOOKUP(G22,係数!$B$3:$I$30,8,FALSE),"")</f>
        <v/>
      </c>
      <c r="AS22" s="24" t="str">
        <f>IFERROR(VLOOKUP(G22,係数!$B$3:$I$30,4,FALSE),"")</f>
        <v/>
      </c>
      <c r="AT22" s="24">
        <f>IFERROR(VLOOKUP(G22,使用量と光熱費!$C$6:$I$10,7,FALSE),0)</f>
        <v>0</v>
      </c>
      <c r="AU22" s="24">
        <f>IFERROR(VLOOKUP(G22,係数!$B$3:$I$30,2,FALSE),0)</f>
        <v>0</v>
      </c>
      <c r="AV22" s="24">
        <f t="shared" si="11"/>
        <v>0</v>
      </c>
      <c r="AW22" s="24">
        <f>IFERROR(VLOOKUP(AA22,係数!$B$3:$I$30,7,FALSE),0)</f>
        <v>0</v>
      </c>
      <c r="AX22" s="24" t="str">
        <f>IFERROR(VLOOKUP(AA22,係数!$B$3:$I$30,8,FALSE),"")</f>
        <v/>
      </c>
      <c r="AY22" s="24" t="str">
        <f>IFERROR(VLOOKUP(AA22,係数!$B$3:$I$30,4,FALSE),"")</f>
        <v/>
      </c>
      <c r="AZ22" s="24">
        <f>IFERROR(VLOOKUP(AA22,使用量と光熱費!$C$6:$I$10,7,FALSE),0)</f>
        <v>0</v>
      </c>
      <c r="BA22" s="24">
        <f>IFERROR(VLOOKUP(AA22,係数!$B$3:$I$30,2,FALSE),0)</f>
        <v>0</v>
      </c>
      <c r="BB22" s="24">
        <f t="shared" si="12"/>
        <v>0</v>
      </c>
    </row>
    <row r="23" spans="2:54" x14ac:dyDescent="0.55000000000000004">
      <c r="B23" s="194" t="s">
        <v>170</v>
      </c>
      <c r="C23" s="2"/>
      <c r="D23" s="10"/>
      <c r="E23" s="2"/>
      <c r="F23" s="2"/>
      <c r="G23" s="46"/>
      <c r="H23" s="431" t="str">
        <f t="shared" si="22"/>
        <v/>
      </c>
      <c r="I23" s="432" t="str">
        <f t="shared" si="0"/>
        <v>ー</v>
      </c>
      <c r="J23" s="432" t="str">
        <f t="shared" si="13"/>
        <v>ー</v>
      </c>
      <c r="K23" s="491"/>
      <c r="L23" s="453"/>
      <c r="M23" s="47"/>
      <c r="N23" s="2"/>
      <c r="O23" s="433" t="str">
        <f t="shared" si="1"/>
        <v/>
      </c>
      <c r="P23" s="2"/>
      <c r="Q23" s="2"/>
      <c r="R23" s="48">
        <f t="shared" si="14"/>
        <v>0</v>
      </c>
      <c r="S23" s="47"/>
      <c r="T23" s="516">
        <f t="shared" si="2"/>
        <v>0</v>
      </c>
      <c r="U23" s="48">
        <f t="shared" si="3"/>
        <v>0</v>
      </c>
      <c r="V23" s="95">
        <f t="shared" si="4"/>
        <v>0</v>
      </c>
      <c r="W23" s="306" t="str">
        <f t="shared" si="15"/>
        <v>ー</v>
      </c>
      <c r="X23" s="554">
        <f t="shared" si="5"/>
        <v>0</v>
      </c>
      <c r="Y23" s="2"/>
      <c r="Z23" s="2"/>
      <c r="AA23" s="46"/>
      <c r="AB23" s="491"/>
      <c r="AC23" s="453"/>
      <c r="AD23" s="47"/>
      <c r="AE23" s="519">
        <f t="shared" si="6"/>
        <v>0</v>
      </c>
      <c r="AF23" s="433" t="str">
        <f t="shared" si="16"/>
        <v/>
      </c>
      <c r="AG23" s="48">
        <f t="shared" si="17"/>
        <v>0</v>
      </c>
      <c r="AH23" s="489">
        <f t="shared" si="18"/>
        <v>0</v>
      </c>
      <c r="AI23" s="48">
        <f t="shared" si="7"/>
        <v>0</v>
      </c>
      <c r="AJ23" s="95">
        <f t="shared" si="19"/>
        <v>0</v>
      </c>
      <c r="AK23" s="306" t="str">
        <f t="shared" si="20"/>
        <v>ー</v>
      </c>
      <c r="AL23" s="554">
        <f t="shared" si="21"/>
        <v>0</v>
      </c>
      <c r="AM23" s="557">
        <f t="shared" si="8"/>
        <v>0</v>
      </c>
      <c r="AN23" s="558">
        <f t="shared" si="9"/>
        <v>0</v>
      </c>
      <c r="AO23" s="306" t="str">
        <f t="shared" si="10"/>
        <v>ー</v>
      </c>
      <c r="AQ23" s="24">
        <f>IFERROR(VLOOKUP(G23,係数!$B$3:$I$30,7,FALSE),0)</f>
        <v>0</v>
      </c>
      <c r="AR23" s="24" t="str">
        <f>IFERROR(VLOOKUP(G23,係数!$B$3:$I$30,8,FALSE),"")</f>
        <v/>
      </c>
      <c r="AS23" s="24" t="str">
        <f>IFERROR(VLOOKUP(G23,係数!$B$3:$I$30,4,FALSE),"")</f>
        <v/>
      </c>
      <c r="AT23" s="24">
        <f>IFERROR(VLOOKUP(G23,使用量と光熱費!$C$6:$I$10,7,FALSE),0)</f>
        <v>0</v>
      </c>
      <c r="AU23" s="24">
        <f>IFERROR(VLOOKUP(G23,係数!$B$3:$I$30,2,FALSE),0)</f>
        <v>0</v>
      </c>
      <c r="AV23" s="24">
        <f t="shared" si="11"/>
        <v>0</v>
      </c>
      <c r="AW23" s="24">
        <f>IFERROR(VLOOKUP(AA23,係数!$B$3:$I$30,7,FALSE),0)</f>
        <v>0</v>
      </c>
      <c r="AX23" s="24" t="str">
        <f>IFERROR(VLOOKUP(AA23,係数!$B$3:$I$30,8,FALSE),"")</f>
        <v/>
      </c>
      <c r="AY23" s="24" t="str">
        <f>IFERROR(VLOOKUP(AA23,係数!$B$3:$I$30,4,FALSE),"")</f>
        <v/>
      </c>
      <c r="AZ23" s="24">
        <f>IFERROR(VLOOKUP(AA23,使用量と光熱費!$C$6:$I$10,7,FALSE),0)</f>
        <v>0</v>
      </c>
      <c r="BA23" s="24">
        <f>IFERROR(VLOOKUP(AA23,係数!$B$3:$I$30,2,FALSE),0)</f>
        <v>0</v>
      </c>
      <c r="BB23" s="24">
        <f t="shared" si="12"/>
        <v>0</v>
      </c>
    </row>
    <row r="24" spans="2:54" x14ac:dyDescent="0.55000000000000004">
      <c r="B24" s="194" t="s">
        <v>171</v>
      </c>
      <c r="C24" s="2"/>
      <c r="D24" s="10"/>
      <c r="E24" s="2"/>
      <c r="F24" s="2"/>
      <c r="G24" s="46"/>
      <c r="H24" s="431" t="str">
        <f t="shared" si="22"/>
        <v/>
      </c>
      <c r="I24" s="432" t="str">
        <f t="shared" si="0"/>
        <v>ー</v>
      </c>
      <c r="J24" s="432" t="str">
        <f t="shared" si="13"/>
        <v>ー</v>
      </c>
      <c r="K24" s="491"/>
      <c r="L24" s="453"/>
      <c r="M24" s="47"/>
      <c r="N24" s="2"/>
      <c r="O24" s="433" t="str">
        <f t="shared" si="1"/>
        <v/>
      </c>
      <c r="P24" s="2"/>
      <c r="Q24" s="2"/>
      <c r="R24" s="48">
        <f t="shared" si="14"/>
        <v>0</v>
      </c>
      <c r="S24" s="47"/>
      <c r="T24" s="516">
        <f t="shared" si="2"/>
        <v>0</v>
      </c>
      <c r="U24" s="48">
        <f t="shared" si="3"/>
        <v>0</v>
      </c>
      <c r="V24" s="95">
        <f t="shared" si="4"/>
        <v>0</v>
      </c>
      <c r="W24" s="306" t="str">
        <f t="shared" si="15"/>
        <v>ー</v>
      </c>
      <c r="X24" s="554">
        <f t="shared" si="5"/>
        <v>0</v>
      </c>
      <c r="Y24" s="2"/>
      <c r="Z24" s="2"/>
      <c r="AA24" s="46"/>
      <c r="AB24" s="491"/>
      <c r="AC24" s="453"/>
      <c r="AD24" s="47"/>
      <c r="AE24" s="519">
        <f t="shared" si="6"/>
        <v>0</v>
      </c>
      <c r="AF24" s="433" t="str">
        <f t="shared" si="16"/>
        <v/>
      </c>
      <c r="AG24" s="48">
        <f t="shared" si="17"/>
        <v>0</v>
      </c>
      <c r="AH24" s="489">
        <f t="shared" si="18"/>
        <v>0</v>
      </c>
      <c r="AI24" s="48">
        <f t="shared" si="7"/>
        <v>0</v>
      </c>
      <c r="AJ24" s="95">
        <f t="shared" si="19"/>
        <v>0</v>
      </c>
      <c r="AK24" s="306" t="str">
        <f t="shared" si="20"/>
        <v>ー</v>
      </c>
      <c r="AL24" s="554">
        <f t="shared" si="21"/>
        <v>0</v>
      </c>
      <c r="AM24" s="557">
        <f t="shared" si="8"/>
        <v>0</v>
      </c>
      <c r="AN24" s="558">
        <f t="shared" si="9"/>
        <v>0</v>
      </c>
      <c r="AO24" s="306" t="str">
        <f t="shared" si="10"/>
        <v>ー</v>
      </c>
      <c r="AQ24" s="24">
        <f>IFERROR(VLOOKUP(G24,係数!$B$3:$I$30,7,FALSE),0)</f>
        <v>0</v>
      </c>
      <c r="AR24" s="24" t="str">
        <f>IFERROR(VLOOKUP(G24,係数!$B$3:$I$30,8,FALSE),"")</f>
        <v/>
      </c>
      <c r="AS24" s="24" t="str">
        <f>IFERROR(VLOOKUP(G24,係数!$B$3:$I$30,4,FALSE),"")</f>
        <v/>
      </c>
      <c r="AT24" s="24">
        <f>IFERROR(VLOOKUP(G24,使用量と光熱費!$C$6:$I$10,7,FALSE),0)</f>
        <v>0</v>
      </c>
      <c r="AU24" s="24">
        <f>IFERROR(VLOOKUP(G24,係数!$B$3:$I$30,2,FALSE),0)</f>
        <v>0</v>
      </c>
      <c r="AV24" s="24">
        <f t="shared" si="11"/>
        <v>0</v>
      </c>
      <c r="AW24" s="24">
        <f>IFERROR(VLOOKUP(AA24,係数!$B$3:$I$30,7,FALSE),0)</f>
        <v>0</v>
      </c>
      <c r="AX24" s="24" t="str">
        <f>IFERROR(VLOOKUP(AA24,係数!$B$3:$I$30,8,FALSE),"")</f>
        <v/>
      </c>
      <c r="AY24" s="24" t="str">
        <f>IFERROR(VLOOKUP(AA24,係数!$B$3:$I$30,4,FALSE),"")</f>
        <v/>
      </c>
      <c r="AZ24" s="24">
        <f>IFERROR(VLOOKUP(AA24,使用量と光熱費!$C$6:$I$10,7,FALSE),0)</f>
        <v>0</v>
      </c>
      <c r="BA24" s="24">
        <f>IFERROR(VLOOKUP(AA24,係数!$B$3:$I$30,2,FALSE),0)</f>
        <v>0</v>
      </c>
      <c r="BB24" s="24">
        <f t="shared" si="12"/>
        <v>0</v>
      </c>
    </row>
    <row r="25" spans="2:54" x14ac:dyDescent="0.55000000000000004">
      <c r="B25" s="194" t="s">
        <v>172</v>
      </c>
      <c r="C25" s="2"/>
      <c r="D25" s="10"/>
      <c r="E25" s="2"/>
      <c r="F25" s="2"/>
      <c r="G25" s="46"/>
      <c r="H25" s="431" t="str">
        <f t="shared" si="22"/>
        <v/>
      </c>
      <c r="I25" s="432" t="str">
        <f t="shared" si="0"/>
        <v>ー</v>
      </c>
      <c r="J25" s="432" t="str">
        <f t="shared" si="13"/>
        <v>ー</v>
      </c>
      <c r="K25" s="491"/>
      <c r="L25" s="453"/>
      <c r="M25" s="47"/>
      <c r="N25" s="2"/>
      <c r="O25" s="433" t="str">
        <f t="shared" si="1"/>
        <v/>
      </c>
      <c r="P25" s="2"/>
      <c r="Q25" s="2"/>
      <c r="R25" s="48">
        <f t="shared" si="14"/>
        <v>0</v>
      </c>
      <c r="S25" s="47"/>
      <c r="T25" s="516">
        <f t="shared" si="2"/>
        <v>0</v>
      </c>
      <c r="U25" s="48">
        <f t="shared" si="3"/>
        <v>0</v>
      </c>
      <c r="V25" s="95">
        <f t="shared" si="4"/>
        <v>0</v>
      </c>
      <c r="W25" s="306" t="str">
        <f t="shared" si="15"/>
        <v>ー</v>
      </c>
      <c r="X25" s="554">
        <f t="shared" si="5"/>
        <v>0</v>
      </c>
      <c r="Y25" s="2"/>
      <c r="Z25" s="2"/>
      <c r="AA25" s="46"/>
      <c r="AB25" s="491"/>
      <c r="AC25" s="453"/>
      <c r="AD25" s="47"/>
      <c r="AE25" s="519">
        <f t="shared" si="6"/>
        <v>0</v>
      </c>
      <c r="AF25" s="433" t="str">
        <f t="shared" si="16"/>
        <v/>
      </c>
      <c r="AG25" s="48">
        <f t="shared" si="17"/>
        <v>0</v>
      </c>
      <c r="AH25" s="489">
        <f t="shared" si="18"/>
        <v>0</v>
      </c>
      <c r="AI25" s="48">
        <f t="shared" si="7"/>
        <v>0</v>
      </c>
      <c r="AJ25" s="95">
        <f t="shared" si="19"/>
        <v>0</v>
      </c>
      <c r="AK25" s="306" t="str">
        <f t="shared" si="20"/>
        <v>ー</v>
      </c>
      <c r="AL25" s="554">
        <f t="shared" si="21"/>
        <v>0</v>
      </c>
      <c r="AM25" s="557">
        <f t="shared" si="8"/>
        <v>0</v>
      </c>
      <c r="AN25" s="558">
        <f t="shared" si="9"/>
        <v>0</v>
      </c>
      <c r="AO25" s="306" t="str">
        <f t="shared" si="10"/>
        <v>ー</v>
      </c>
      <c r="AQ25" s="24">
        <f>IFERROR(VLOOKUP(G25,係数!$B$3:$I$30,7,FALSE),0)</f>
        <v>0</v>
      </c>
      <c r="AR25" s="24" t="str">
        <f>IFERROR(VLOOKUP(G25,係数!$B$3:$I$30,8,FALSE),"")</f>
        <v/>
      </c>
      <c r="AS25" s="24" t="str">
        <f>IFERROR(VLOOKUP(G25,係数!$B$3:$I$30,4,FALSE),"")</f>
        <v/>
      </c>
      <c r="AT25" s="24">
        <f>IFERROR(VLOOKUP(G25,使用量と光熱費!$C$6:$I$10,7,FALSE),0)</f>
        <v>0</v>
      </c>
      <c r="AU25" s="24">
        <f>IFERROR(VLOOKUP(G25,係数!$B$3:$I$30,2,FALSE),0)</f>
        <v>0</v>
      </c>
      <c r="AV25" s="24">
        <f t="shared" si="11"/>
        <v>0</v>
      </c>
      <c r="AW25" s="24">
        <f>IFERROR(VLOOKUP(AA25,係数!$B$3:$I$30,7,FALSE),0)</f>
        <v>0</v>
      </c>
      <c r="AX25" s="24" t="str">
        <f>IFERROR(VLOOKUP(AA25,係数!$B$3:$I$30,8,FALSE),"")</f>
        <v/>
      </c>
      <c r="AY25" s="24" t="str">
        <f>IFERROR(VLOOKUP(AA25,係数!$B$3:$I$30,4,FALSE),"")</f>
        <v/>
      </c>
      <c r="AZ25" s="24">
        <f>IFERROR(VLOOKUP(AA25,使用量と光熱費!$C$6:$I$10,7,FALSE),0)</f>
        <v>0</v>
      </c>
      <c r="BA25" s="24">
        <f>IFERROR(VLOOKUP(AA25,係数!$B$3:$I$30,2,FALSE),0)</f>
        <v>0</v>
      </c>
      <c r="BB25" s="24">
        <f t="shared" si="12"/>
        <v>0</v>
      </c>
    </row>
    <row r="26" spans="2:54" x14ac:dyDescent="0.55000000000000004">
      <c r="B26" s="194" t="s">
        <v>173</v>
      </c>
      <c r="C26" s="2"/>
      <c r="D26" s="10"/>
      <c r="E26" s="2"/>
      <c r="F26" s="2"/>
      <c r="G26" s="46"/>
      <c r="H26" s="431" t="str">
        <f t="shared" si="22"/>
        <v/>
      </c>
      <c r="I26" s="432" t="str">
        <f t="shared" si="0"/>
        <v>ー</v>
      </c>
      <c r="J26" s="432" t="str">
        <f t="shared" si="13"/>
        <v>ー</v>
      </c>
      <c r="K26" s="491"/>
      <c r="L26" s="453"/>
      <c r="M26" s="47"/>
      <c r="N26" s="2"/>
      <c r="O26" s="433" t="str">
        <f t="shared" si="1"/>
        <v/>
      </c>
      <c r="P26" s="2"/>
      <c r="Q26" s="2"/>
      <c r="R26" s="48">
        <f t="shared" si="14"/>
        <v>0</v>
      </c>
      <c r="S26" s="47"/>
      <c r="T26" s="516">
        <f t="shared" si="2"/>
        <v>0</v>
      </c>
      <c r="U26" s="48">
        <f t="shared" si="3"/>
        <v>0</v>
      </c>
      <c r="V26" s="95">
        <f t="shared" si="4"/>
        <v>0</v>
      </c>
      <c r="W26" s="306" t="str">
        <f t="shared" si="15"/>
        <v>ー</v>
      </c>
      <c r="X26" s="554">
        <f t="shared" si="5"/>
        <v>0</v>
      </c>
      <c r="Y26" s="2"/>
      <c r="Z26" s="2"/>
      <c r="AA26" s="46"/>
      <c r="AB26" s="491"/>
      <c r="AC26" s="453"/>
      <c r="AD26" s="47"/>
      <c r="AE26" s="519">
        <f t="shared" si="6"/>
        <v>0</v>
      </c>
      <c r="AF26" s="433" t="str">
        <f t="shared" si="16"/>
        <v/>
      </c>
      <c r="AG26" s="48">
        <f t="shared" si="17"/>
        <v>0</v>
      </c>
      <c r="AH26" s="489">
        <f t="shared" si="18"/>
        <v>0</v>
      </c>
      <c r="AI26" s="48">
        <f t="shared" si="7"/>
        <v>0</v>
      </c>
      <c r="AJ26" s="95">
        <f t="shared" si="19"/>
        <v>0</v>
      </c>
      <c r="AK26" s="306" t="str">
        <f t="shared" si="20"/>
        <v>ー</v>
      </c>
      <c r="AL26" s="554">
        <f t="shared" si="21"/>
        <v>0</v>
      </c>
      <c r="AM26" s="557">
        <f t="shared" si="8"/>
        <v>0</v>
      </c>
      <c r="AN26" s="558">
        <f t="shared" si="9"/>
        <v>0</v>
      </c>
      <c r="AO26" s="306" t="str">
        <f t="shared" si="10"/>
        <v>ー</v>
      </c>
      <c r="AQ26" s="24">
        <f>IFERROR(VLOOKUP(G26,係数!$B$3:$I$30,7,FALSE),0)</f>
        <v>0</v>
      </c>
      <c r="AR26" s="24" t="str">
        <f>IFERROR(VLOOKUP(G26,係数!$B$3:$I$30,8,FALSE),"")</f>
        <v/>
      </c>
      <c r="AS26" s="24" t="str">
        <f>IFERROR(VLOOKUP(G26,係数!$B$3:$I$30,4,FALSE),"")</f>
        <v/>
      </c>
      <c r="AT26" s="24">
        <f>IFERROR(VLOOKUP(G26,使用量と光熱費!$C$6:$I$10,7,FALSE),0)</f>
        <v>0</v>
      </c>
      <c r="AU26" s="24">
        <f>IFERROR(VLOOKUP(G26,係数!$B$3:$I$30,2,FALSE),0)</f>
        <v>0</v>
      </c>
      <c r="AV26" s="24">
        <f t="shared" si="11"/>
        <v>0</v>
      </c>
      <c r="AW26" s="24">
        <f>IFERROR(VLOOKUP(AA26,係数!$B$3:$I$30,7,FALSE),0)</f>
        <v>0</v>
      </c>
      <c r="AX26" s="24" t="str">
        <f>IFERROR(VLOOKUP(AA26,係数!$B$3:$I$30,8,FALSE),"")</f>
        <v/>
      </c>
      <c r="AY26" s="24" t="str">
        <f>IFERROR(VLOOKUP(AA26,係数!$B$3:$I$30,4,FALSE),"")</f>
        <v/>
      </c>
      <c r="AZ26" s="24">
        <f>IFERROR(VLOOKUP(AA26,使用量と光熱費!$C$6:$I$10,7,FALSE),0)</f>
        <v>0</v>
      </c>
      <c r="BA26" s="24">
        <f>IFERROR(VLOOKUP(AA26,係数!$B$3:$I$30,2,FALSE),0)</f>
        <v>0</v>
      </c>
      <c r="BB26" s="24">
        <f t="shared" si="12"/>
        <v>0</v>
      </c>
    </row>
    <row r="27" spans="2:54" x14ac:dyDescent="0.55000000000000004">
      <c r="B27" s="194" t="s">
        <v>174</v>
      </c>
      <c r="C27" s="2"/>
      <c r="D27" s="10"/>
      <c r="E27" s="2"/>
      <c r="F27" s="2"/>
      <c r="G27" s="46"/>
      <c r="H27" s="431" t="str">
        <f t="shared" si="22"/>
        <v/>
      </c>
      <c r="I27" s="432" t="str">
        <f t="shared" si="0"/>
        <v>ー</v>
      </c>
      <c r="J27" s="432" t="str">
        <f t="shared" si="13"/>
        <v>ー</v>
      </c>
      <c r="K27" s="491"/>
      <c r="L27" s="453"/>
      <c r="M27" s="47"/>
      <c r="N27" s="2"/>
      <c r="O27" s="433" t="str">
        <f t="shared" ref="O27:O34" si="23">AS27</f>
        <v/>
      </c>
      <c r="P27" s="2"/>
      <c r="Q27" s="2"/>
      <c r="R27" s="48">
        <f t="shared" si="14"/>
        <v>0</v>
      </c>
      <c r="S27" s="47"/>
      <c r="T27" s="516">
        <f t="shared" si="2"/>
        <v>0</v>
      </c>
      <c r="U27" s="48">
        <f t="shared" si="3"/>
        <v>0</v>
      </c>
      <c r="V27" s="95">
        <f t="shared" si="4"/>
        <v>0</v>
      </c>
      <c r="W27" s="306" t="str">
        <f t="shared" si="15"/>
        <v>ー</v>
      </c>
      <c r="X27" s="554">
        <f t="shared" si="5"/>
        <v>0</v>
      </c>
      <c r="Y27" s="2"/>
      <c r="Z27" s="2"/>
      <c r="AA27" s="46"/>
      <c r="AB27" s="491"/>
      <c r="AC27" s="453"/>
      <c r="AD27" s="47"/>
      <c r="AE27" s="519">
        <f t="shared" si="6"/>
        <v>0</v>
      </c>
      <c r="AF27" s="433" t="str">
        <f t="shared" si="16"/>
        <v/>
      </c>
      <c r="AG27" s="48">
        <f t="shared" si="17"/>
        <v>0</v>
      </c>
      <c r="AH27" s="489">
        <f t="shared" si="18"/>
        <v>0</v>
      </c>
      <c r="AI27" s="48">
        <f t="shared" si="7"/>
        <v>0</v>
      </c>
      <c r="AJ27" s="95">
        <f t="shared" si="19"/>
        <v>0</v>
      </c>
      <c r="AK27" s="306" t="str">
        <f t="shared" si="20"/>
        <v>ー</v>
      </c>
      <c r="AL27" s="554">
        <f t="shared" si="21"/>
        <v>0</v>
      </c>
      <c r="AM27" s="557">
        <f t="shared" si="8"/>
        <v>0</v>
      </c>
      <c r="AN27" s="558">
        <f t="shared" si="9"/>
        <v>0</v>
      </c>
      <c r="AO27" s="306" t="str">
        <f t="shared" si="10"/>
        <v>ー</v>
      </c>
      <c r="AQ27" s="24">
        <f>IFERROR(VLOOKUP(G27,係数!$B$3:$I$30,7,FALSE),0)</f>
        <v>0</v>
      </c>
      <c r="AR27" s="24" t="str">
        <f>IFERROR(VLOOKUP(G27,係数!$B$3:$I$30,8,FALSE),"")</f>
        <v/>
      </c>
      <c r="AS27" s="24" t="str">
        <f>IFERROR(VLOOKUP(G27,係数!$B$3:$I$30,4,FALSE),"")</f>
        <v/>
      </c>
      <c r="AT27" s="24">
        <f>IFERROR(VLOOKUP(G27,使用量と光熱費!$C$6:$I$10,7,FALSE),0)</f>
        <v>0</v>
      </c>
      <c r="AU27" s="24">
        <f>IFERROR(VLOOKUP(G27,係数!$B$3:$I$30,2,FALSE),0)</f>
        <v>0</v>
      </c>
      <c r="AV27" s="24">
        <f t="shared" si="11"/>
        <v>0</v>
      </c>
      <c r="AW27" s="24">
        <f>IFERROR(VLOOKUP(AA27,係数!$B$3:$I$30,7,FALSE),0)</f>
        <v>0</v>
      </c>
      <c r="AX27" s="24" t="str">
        <f>IFERROR(VLOOKUP(AA27,係数!$B$3:$I$30,8,FALSE),"")</f>
        <v/>
      </c>
      <c r="AY27" s="24" t="str">
        <f>IFERROR(VLOOKUP(AA27,係数!$B$3:$I$30,4,FALSE),"")</f>
        <v/>
      </c>
      <c r="AZ27" s="24">
        <f>IFERROR(VLOOKUP(AA27,使用量と光熱費!$C$6:$I$10,7,FALSE),0)</f>
        <v>0</v>
      </c>
      <c r="BA27" s="24">
        <f>IFERROR(VLOOKUP(AA27,係数!$B$3:$I$30,2,FALSE),0)</f>
        <v>0</v>
      </c>
      <c r="BB27" s="24">
        <f t="shared" si="12"/>
        <v>0</v>
      </c>
    </row>
    <row r="28" spans="2:54" x14ac:dyDescent="0.55000000000000004">
      <c r="B28" s="194" t="s">
        <v>175</v>
      </c>
      <c r="C28" s="2"/>
      <c r="D28" s="10"/>
      <c r="E28" s="2"/>
      <c r="F28" s="2"/>
      <c r="G28" s="46"/>
      <c r="H28" s="431" t="str">
        <f t="shared" si="22"/>
        <v/>
      </c>
      <c r="I28" s="432" t="str">
        <f t="shared" si="0"/>
        <v>ー</v>
      </c>
      <c r="J28" s="432" t="str">
        <f t="shared" si="13"/>
        <v>ー</v>
      </c>
      <c r="K28" s="491"/>
      <c r="L28" s="453"/>
      <c r="M28" s="47"/>
      <c r="N28" s="2"/>
      <c r="O28" s="433" t="str">
        <f t="shared" si="23"/>
        <v/>
      </c>
      <c r="P28" s="2"/>
      <c r="Q28" s="2"/>
      <c r="R28" s="48">
        <f t="shared" si="14"/>
        <v>0</v>
      </c>
      <c r="S28" s="47"/>
      <c r="T28" s="516">
        <f t="shared" si="2"/>
        <v>0</v>
      </c>
      <c r="U28" s="48">
        <f t="shared" si="3"/>
        <v>0</v>
      </c>
      <c r="V28" s="95">
        <f t="shared" si="4"/>
        <v>0</v>
      </c>
      <c r="W28" s="306" t="str">
        <f t="shared" si="15"/>
        <v>ー</v>
      </c>
      <c r="X28" s="554">
        <f t="shared" si="5"/>
        <v>0</v>
      </c>
      <c r="Y28" s="2"/>
      <c r="Z28" s="2"/>
      <c r="AA28" s="46"/>
      <c r="AB28" s="491"/>
      <c r="AC28" s="453"/>
      <c r="AD28" s="47"/>
      <c r="AE28" s="519">
        <f t="shared" si="6"/>
        <v>0</v>
      </c>
      <c r="AF28" s="433" t="str">
        <f t="shared" si="16"/>
        <v/>
      </c>
      <c r="AG28" s="48">
        <f t="shared" si="17"/>
        <v>0</v>
      </c>
      <c r="AH28" s="489">
        <f t="shared" si="18"/>
        <v>0</v>
      </c>
      <c r="AI28" s="48">
        <f t="shared" si="7"/>
        <v>0</v>
      </c>
      <c r="AJ28" s="95">
        <f t="shared" si="19"/>
        <v>0</v>
      </c>
      <c r="AK28" s="306" t="str">
        <f t="shared" si="20"/>
        <v>ー</v>
      </c>
      <c r="AL28" s="554">
        <f t="shared" si="21"/>
        <v>0</v>
      </c>
      <c r="AM28" s="557">
        <f t="shared" si="8"/>
        <v>0</v>
      </c>
      <c r="AN28" s="558">
        <f t="shared" si="9"/>
        <v>0</v>
      </c>
      <c r="AO28" s="306" t="str">
        <f t="shared" si="10"/>
        <v>ー</v>
      </c>
      <c r="AQ28" s="24">
        <f>IFERROR(VLOOKUP(G28,係数!$B$3:$I$30,7,FALSE),0)</f>
        <v>0</v>
      </c>
      <c r="AR28" s="24" t="str">
        <f>IFERROR(VLOOKUP(G28,係数!$B$3:$I$30,8,FALSE),"")</f>
        <v/>
      </c>
      <c r="AS28" s="24" t="str">
        <f>IFERROR(VLOOKUP(G28,係数!$B$3:$I$30,4,FALSE),"")</f>
        <v/>
      </c>
      <c r="AT28" s="24">
        <f>IFERROR(VLOOKUP(G28,使用量と光熱費!$C$6:$I$10,7,FALSE),0)</f>
        <v>0</v>
      </c>
      <c r="AU28" s="24">
        <f>IFERROR(VLOOKUP(G28,係数!$B$3:$I$30,2,FALSE),0)</f>
        <v>0</v>
      </c>
      <c r="AV28" s="24">
        <f t="shared" si="11"/>
        <v>0</v>
      </c>
      <c r="AW28" s="24">
        <f>IFERROR(VLOOKUP(AA28,係数!$B$3:$I$30,7,FALSE),0)</f>
        <v>0</v>
      </c>
      <c r="AX28" s="24" t="str">
        <f>IFERROR(VLOOKUP(AA28,係数!$B$3:$I$30,8,FALSE),"")</f>
        <v/>
      </c>
      <c r="AY28" s="24" t="str">
        <f>IFERROR(VLOOKUP(AA28,係数!$B$3:$I$30,4,FALSE),"")</f>
        <v/>
      </c>
      <c r="AZ28" s="24">
        <f>IFERROR(VLOOKUP(AA28,使用量と光熱費!$C$6:$I$10,7,FALSE),0)</f>
        <v>0</v>
      </c>
      <c r="BA28" s="24">
        <f>IFERROR(VLOOKUP(AA28,係数!$B$3:$I$30,2,FALSE),0)</f>
        <v>0</v>
      </c>
      <c r="BB28" s="24">
        <f t="shared" si="12"/>
        <v>0</v>
      </c>
    </row>
    <row r="29" spans="2:54" x14ac:dyDescent="0.55000000000000004">
      <c r="B29" s="194" t="s">
        <v>176</v>
      </c>
      <c r="C29" s="2"/>
      <c r="D29" s="10"/>
      <c r="E29" s="2"/>
      <c r="F29" s="2"/>
      <c r="G29" s="46"/>
      <c r="H29" s="431" t="str">
        <f t="shared" si="22"/>
        <v/>
      </c>
      <c r="I29" s="432" t="str">
        <f t="shared" si="0"/>
        <v>ー</v>
      </c>
      <c r="J29" s="432" t="str">
        <f t="shared" si="13"/>
        <v>ー</v>
      </c>
      <c r="K29" s="491"/>
      <c r="L29" s="453"/>
      <c r="M29" s="47"/>
      <c r="N29" s="2"/>
      <c r="O29" s="433" t="str">
        <f t="shared" si="23"/>
        <v/>
      </c>
      <c r="P29" s="2"/>
      <c r="Q29" s="2"/>
      <c r="R29" s="48">
        <f t="shared" si="14"/>
        <v>0</v>
      </c>
      <c r="S29" s="47"/>
      <c r="T29" s="516">
        <f t="shared" si="2"/>
        <v>0</v>
      </c>
      <c r="U29" s="48">
        <f t="shared" si="3"/>
        <v>0</v>
      </c>
      <c r="V29" s="95">
        <f t="shared" si="4"/>
        <v>0</v>
      </c>
      <c r="W29" s="306" t="str">
        <f t="shared" si="15"/>
        <v>ー</v>
      </c>
      <c r="X29" s="554">
        <f t="shared" si="5"/>
        <v>0</v>
      </c>
      <c r="Y29" s="2"/>
      <c r="Z29" s="2"/>
      <c r="AA29" s="46"/>
      <c r="AB29" s="491"/>
      <c r="AC29" s="453"/>
      <c r="AD29" s="47"/>
      <c r="AE29" s="519">
        <f t="shared" si="6"/>
        <v>0</v>
      </c>
      <c r="AF29" s="433" t="str">
        <f t="shared" si="16"/>
        <v/>
      </c>
      <c r="AG29" s="48">
        <f t="shared" si="17"/>
        <v>0</v>
      </c>
      <c r="AH29" s="489">
        <f t="shared" si="18"/>
        <v>0</v>
      </c>
      <c r="AI29" s="48">
        <f t="shared" si="7"/>
        <v>0</v>
      </c>
      <c r="AJ29" s="95">
        <f t="shared" si="19"/>
        <v>0</v>
      </c>
      <c r="AK29" s="306" t="str">
        <f t="shared" si="20"/>
        <v>ー</v>
      </c>
      <c r="AL29" s="554">
        <f t="shared" si="21"/>
        <v>0</v>
      </c>
      <c r="AM29" s="557">
        <f t="shared" si="8"/>
        <v>0</v>
      </c>
      <c r="AN29" s="558">
        <f t="shared" si="9"/>
        <v>0</v>
      </c>
      <c r="AO29" s="306" t="str">
        <f t="shared" si="10"/>
        <v>ー</v>
      </c>
      <c r="AQ29" s="24">
        <f>IFERROR(VLOOKUP(G29,係数!$B$3:$I$30,7,FALSE),0)</f>
        <v>0</v>
      </c>
      <c r="AR29" s="24" t="str">
        <f>IFERROR(VLOOKUP(G29,係数!$B$3:$I$30,8,FALSE),"")</f>
        <v/>
      </c>
      <c r="AS29" s="24" t="str">
        <f>IFERROR(VLOOKUP(G29,係数!$B$3:$I$30,4,FALSE),"")</f>
        <v/>
      </c>
      <c r="AT29" s="24">
        <f>IFERROR(VLOOKUP(G29,使用量と光熱費!$C$6:$I$10,7,FALSE),0)</f>
        <v>0</v>
      </c>
      <c r="AU29" s="24">
        <f>IFERROR(VLOOKUP(G29,係数!$B$3:$I$30,2,FALSE),0)</f>
        <v>0</v>
      </c>
      <c r="AV29" s="24">
        <f t="shared" si="11"/>
        <v>0</v>
      </c>
      <c r="AW29" s="24">
        <f>IFERROR(VLOOKUP(AA29,係数!$B$3:$I$30,7,FALSE),0)</f>
        <v>0</v>
      </c>
      <c r="AX29" s="24" t="str">
        <f>IFERROR(VLOOKUP(AA29,係数!$B$3:$I$30,8,FALSE),"")</f>
        <v/>
      </c>
      <c r="AY29" s="24" t="str">
        <f>IFERROR(VLOOKUP(AA29,係数!$B$3:$I$30,4,FALSE),"")</f>
        <v/>
      </c>
      <c r="AZ29" s="24">
        <f>IFERROR(VLOOKUP(AA29,使用量と光熱費!$C$6:$I$10,7,FALSE),0)</f>
        <v>0</v>
      </c>
      <c r="BA29" s="24">
        <f>IFERROR(VLOOKUP(AA29,係数!$B$3:$I$30,2,FALSE),0)</f>
        <v>0</v>
      </c>
      <c r="BB29" s="24">
        <f t="shared" si="12"/>
        <v>0</v>
      </c>
    </row>
    <row r="30" spans="2:54" x14ac:dyDescent="0.55000000000000004">
      <c r="B30" s="194" t="s">
        <v>177</v>
      </c>
      <c r="C30" s="2"/>
      <c r="D30" s="10"/>
      <c r="E30" s="2"/>
      <c r="F30" s="2"/>
      <c r="G30" s="46"/>
      <c r="H30" s="431" t="str">
        <f t="shared" si="22"/>
        <v/>
      </c>
      <c r="I30" s="432" t="str">
        <f t="shared" si="0"/>
        <v>ー</v>
      </c>
      <c r="J30" s="432" t="str">
        <f t="shared" si="13"/>
        <v>ー</v>
      </c>
      <c r="K30" s="491"/>
      <c r="L30" s="453"/>
      <c r="M30" s="47"/>
      <c r="N30" s="2"/>
      <c r="O30" s="433" t="str">
        <f t="shared" si="23"/>
        <v/>
      </c>
      <c r="P30" s="2"/>
      <c r="Q30" s="2"/>
      <c r="R30" s="48">
        <f t="shared" si="14"/>
        <v>0</v>
      </c>
      <c r="S30" s="47"/>
      <c r="T30" s="516">
        <f t="shared" si="2"/>
        <v>0</v>
      </c>
      <c r="U30" s="48">
        <f t="shared" si="3"/>
        <v>0</v>
      </c>
      <c r="V30" s="95">
        <f t="shared" si="4"/>
        <v>0</v>
      </c>
      <c r="W30" s="306" t="str">
        <f t="shared" si="15"/>
        <v>ー</v>
      </c>
      <c r="X30" s="554">
        <f t="shared" si="5"/>
        <v>0</v>
      </c>
      <c r="Y30" s="2"/>
      <c r="Z30" s="2"/>
      <c r="AA30" s="46"/>
      <c r="AB30" s="491"/>
      <c r="AC30" s="453"/>
      <c r="AD30" s="47"/>
      <c r="AE30" s="519">
        <f t="shared" si="6"/>
        <v>0</v>
      </c>
      <c r="AF30" s="433" t="str">
        <f t="shared" si="16"/>
        <v/>
      </c>
      <c r="AG30" s="48">
        <f t="shared" si="17"/>
        <v>0</v>
      </c>
      <c r="AH30" s="489">
        <f t="shared" si="18"/>
        <v>0</v>
      </c>
      <c r="AI30" s="48">
        <f t="shared" si="7"/>
        <v>0</v>
      </c>
      <c r="AJ30" s="95">
        <f t="shared" si="19"/>
        <v>0</v>
      </c>
      <c r="AK30" s="306" t="str">
        <f t="shared" si="20"/>
        <v>ー</v>
      </c>
      <c r="AL30" s="554">
        <f t="shared" si="21"/>
        <v>0</v>
      </c>
      <c r="AM30" s="557">
        <f t="shared" si="8"/>
        <v>0</v>
      </c>
      <c r="AN30" s="558">
        <f t="shared" si="9"/>
        <v>0</v>
      </c>
      <c r="AO30" s="306" t="str">
        <f t="shared" si="10"/>
        <v>ー</v>
      </c>
      <c r="AQ30" s="24">
        <f>IFERROR(VLOOKUP(G30,係数!$B$3:$I$30,7,FALSE),0)</f>
        <v>0</v>
      </c>
      <c r="AR30" s="24" t="str">
        <f>IFERROR(VLOOKUP(G30,係数!$B$3:$I$30,8,FALSE),"")</f>
        <v/>
      </c>
      <c r="AS30" s="24" t="str">
        <f>IFERROR(VLOOKUP(G30,係数!$B$3:$I$30,4,FALSE),"")</f>
        <v/>
      </c>
      <c r="AT30" s="24">
        <f>IFERROR(VLOOKUP(G30,使用量と光熱費!$C$6:$I$10,7,FALSE),0)</f>
        <v>0</v>
      </c>
      <c r="AU30" s="24">
        <f>IFERROR(VLOOKUP(G30,係数!$B$3:$I$30,2,FALSE),0)</f>
        <v>0</v>
      </c>
      <c r="AV30" s="24">
        <f t="shared" si="11"/>
        <v>0</v>
      </c>
      <c r="AW30" s="24">
        <f>IFERROR(VLOOKUP(AA30,係数!$B$3:$I$30,7,FALSE),0)</f>
        <v>0</v>
      </c>
      <c r="AX30" s="24" t="str">
        <f>IFERROR(VLOOKUP(AA30,係数!$B$3:$I$30,8,FALSE),"")</f>
        <v/>
      </c>
      <c r="AY30" s="24" t="str">
        <f>IFERROR(VLOOKUP(AA30,係数!$B$3:$I$30,4,FALSE),"")</f>
        <v/>
      </c>
      <c r="AZ30" s="24">
        <f>IFERROR(VLOOKUP(AA30,使用量と光熱費!$C$6:$I$10,7,FALSE),0)</f>
        <v>0</v>
      </c>
      <c r="BA30" s="24">
        <f>IFERROR(VLOOKUP(AA30,係数!$B$3:$I$30,2,FALSE),0)</f>
        <v>0</v>
      </c>
      <c r="BB30" s="24">
        <f t="shared" si="12"/>
        <v>0</v>
      </c>
    </row>
    <row r="31" spans="2:54" x14ac:dyDescent="0.55000000000000004">
      <c r="B31" s="194" t="s">
        <v>178</v>
      </c>
      <c r="C31" s="2"/>
      <c r="D31" s="10"/>
      <c r="E31" s="2"/>
      <c r="F31" s="2"/>
      <c r="G31" s="46"/>
      <c r="H31" s="431" t="str">
        <f t="shared" si="22"/>
        <v/>
      </c>
      <c r="I31" s="432" t="str">
        <f t="shared" si="0"/>
        <v>ー</v>
      </c>
      <c r="J31" s="432" t="str">
        <f t="shared" si="13"/>
        <v>ー</v>
      </c>
      <c r="K31" s="491"/>
      <c r="L31" s="453"/>
      <c r="M31" s="47"/>
      <c r="N31" s="2"/>
      <c r="O31" s="433" t="str">
        <f t="shared" si="23"/>
        <v/>
      </c>
      <c r="P31" s="2"/>
      <c r="Q31" s="2"/>
      <c r="R31" s="48">
        <f t="shared" si="14"/>
        <v>0</v>
      </c>
      <c r="S31" s="47"/>
      <c r="T31" s="516">
        <f t="shared" si="2"/>
        <v>0</v>
      </c>
      <c r="U31" s="48">
        <f t="shared" si="3"/>
        <v>0</v>
      </c>
      <c r="V31" s="95">
        <f t="shared" si="4"/>
        <v>0</v>
      </c>
      <c r="W31" s="306" t="str">
        <f t="shared" si="15"/>
        <v>ー</v>
      </c>
      <c r="X31" s="554">
        <f t="shared" si="5"/>
        <v>0</v>
      </c>
      <c r="Y31" s="2"/>
      <c r="Z31" s="2"/>
      <c r="AA31" s="46"/>
      <c r="AB31" s="491"/>
      <c r="AC31" s="453"/>
      <c r="AD31" s="47"/>
      <c r="AE31" s="519">
        <f t="shared" si="6"/>
        <v>0</v>
      </c>
      <c r="AF31" s="433" t="str">
        <f t="shared" si="16"/>
        <v/>
      </c>
      <c r="AG31" s="48">
        <f t="shared" si="17"/>
        <v>0</v>
      </c>
      <c r="AH31" s="489">
        <f t="shared" si="18"/>
        <v>0</v>
      </c>
      <c r="AI31" s="48">
        <f t="shared" si="7"/>
        <v>0</v>
      </c>
      <c r="AJ31" s="95">
        <f t="shared" si="19"/>
        <v>0</v>
      </c>
      <c r="AK31" s="306" t="str">
        <f t="shared" si="20"/>
        <v>ー</v>
      </c>
      <c r="AL31" s="554">
        <f t="shared" si="21"/>
        <v>0</v>
      </c>
      <c r="AM31" s="557">
        <f t="shared" si="8"/>
        <v>0</v>
      </c>
      <c r="AN31" s="558">
        <f t="shared" si="9"/>
        <v>0</v>
      </c>
      <c r="AO31" s="306" t="str">
        <f t="shared" si="10"/>
        <v>ー</v>
      </c>
      <c r="AQ31" s="24">
        <f>IFERROR(VLOOKUP(G31,係数!$B$3:$I$30,7,FALSE),0)</f>
        <v>0</v>
      </c>
      <c r="AR31" s="24" t="str">
        <f>IFERROR(VLOOKUP(G31,係数!$B$3:$I$30,8,FALSE),"")</f>
        <v/>
      </c>
      <c r="AS31" s="24" t="str">
        <f>IFERROR(VLOOKUP(G31,係数!$B$3:$I$30,4,FALSE),"")</f>
        <v/>
      </c>
      <c r="AT31" s="24">
        <f>IFERROR(VLOOKUP(G31,使用量と光熱費!$C$6:$I$10,7,FALSE),0)</f>
        <v>0</v>
      </c>
      <c r="AU31" s="24">
        <f>IFERROR(VLOOKUP(G31,係数!$B$3:$I$30,2,FALSE),0)</f>
        <v>0</v>
      </c>
      <c r="AV31" s="24">
        <f t="shared" si="11"/>
        <v>0</v>
      </c>
      <c r="AW31" s="24">
        <f>IFERROR(VLOOKUP(AA31,係数!$B$3:$I$30,7,FALSE),0)</f>
        <v>0</v>
      </c>
      <c r="AX31" s="24" t="str">
        <f>IFERROR(VLOOKUP(AA31,係数!$B$3:$I$30,8,FALSE),"")</f>
        <v/>
      </c>
      <c r="AY31" s="24" t="str">
        <f>IFERROR(VLOOKUP(AA31,係数!$B$3:$I$30,4,FALSE),"")</f>
        <v/>
      </c>
      <c r="AZ31" s="24">
        <f>IFERROR(VLOOKUP(AA31,使用量と光熱費!$C$6:$I$10,7,FALSE),0)</f>
        <v>0</v>
      </c>
      <c r="BA31" s="24">
        <f>IFERROR(VLOOKUP(AA31,係数!$B$3:$I$30,2,FALSE),0)</f>
        <v>0</v>
      </c>
      <c r="BB31" s="24">
        <f t="shared" si="12"/>
        <v>0</v>
      </c>
    </row>
    <row r="32" spans="2:54" x14ac:dyDescent="0.55000000000000004">
      <c r="B32" s="194" t="s">
        <v>179</v>
      </c>
      <c r="C32" s="2"/>
      <c r="D32" s="10"/>
      <c r="E32" s="2"/>
      <c r="F32" s="2"/>
      <c r="G32" s="46"/>
      <c r="H32" s="431" t="str">
        <f t="shared" si="22"/>
        <v/>
      </c>
      <c r="I32" s="432" t="str">
        <f t="shared" si="0"/>
        <v>ー</v>
      </c>
      <c r="J32" s="432" t="str">
        <f t="shared" si="13"/>
        <v>ー</v>
      </c>
      <c r="K32" s="491"/>
      <c r="L32" s="453"/>
      <c r="M32" s="47"/>
      <c r="N32" s="2"/>
      <c r="O32" s="433" t="str">
        <f t="shared" si="23"/>
        <v/>
      </c>
      <c r="P32" s="2"/>
      <c r="Q32" s="2"/>
      <c r="R32" s="48">
        <f t="shared" si="14"/>
        <v>0</v>
      </c>
      <c r="S32" s="47"/>
      <c r="T32" s="516">
        <f t="shared" si="2"/>
        <v>0</v>
      </c>
      <c r="U32" s="48">
        <f t="shared" si="3"/>
        <v>0</v>
      </c>
      <c r="V32" s="95">
        <f t="shared" si="4"/>
        <v>0</v>
      </c>
      <c r="W32" s="306" t="str">
        <f t="shared" si="15"/>
        <v>ー</v>
      </c>
      <c r="X32" s="554">
        <f t="shared" si="5"/>
        <v>0</v>
      </c>
      <c r="Y32" s="2"/>
      <c r="Z32" s="2"/>
      <c r="AA32" s="46"/>
      <c r="AB32" s="491"/>
      <c r="AC32" s="453"/>
      <c r="AD32" s="47"/>
      <c r="AE32" s="519">
        <f t="shared" si="6"/>
        <v>0</v>
      </c>
      <c r="AF32" s="433" t="str">
        <f t="shared" si="16"/>
        <v/>
      </c>
      <c r="AG32" s="48">
        <f t="shared" si="17"/>
        <v>0</v>
      </c>
      <c r="AH32" s="489">
        <f t="shared" si="18"/>
        <v>0</v>
      </c>
      <c r="AI32" s="48">
        <f t="shared" si="7"/>
        <v>0</v>
      </c>
      <c r="AJ32" s="95">
        <f t="shared" si="19"/>
        <v>0</v>
      </c>
      <c r="AK32" s="306" t="str">
        <f t="shared" si="20"/>
        <v>ー</v>
      </c>
      <c r="AL32" s="554">
        <f t="shared" si="21"/>
        <v>0</v>
      </c>
      <c r="AM32" s="557">
        <f t="shared" si="8"/>
        <v>0</v>
      </c>
      <c r="AN32" s="558">
        <f t="shared" si="9"/>
        <v>0</v>
      </c>
      <c r="AO32" s="306" t="str">
        <f t="shared" si="10"/>
        <v>ー</v>
      </c>
      <c r="AQ32" s="24">
        <f>IFERROR(VLOOKUP(G32,係数!$B$3:$I$30,7,FALSE),0)</f>
        <v>0</v>
      </c>
      <c r="AR32" s="24" t="str">
        <f>IFERROR(VLOOKUP(G32,係数!$B$3:$I$30,8,FALSE),"")</f>
        <v/>
      </c>
      <c r="AS32" s="24" t="str">
        <f>IFERROR(VLOOKUP(G32,係数!$B$3:$I$30,4,FALSE),"")</f>
        <v/>
      </c>
      <c r="AT32" s="24">
        <f>IFERROR(VLOOKUP(G32,使用量と光熱費!$C$6:$I$10,7,FALSE),0)</f>
        <v>0</v>
      </c>
      <c r="AU32" s="24">
        <f>IFERROR(VLOOKUP(G32,係数!$B$3:$I$30,2,FALSE),0)</f>
        <v>0</v>
      </c>
      <c r="AV32" s="24">
        <f t="shared" si="11"/>
        <v>0</v>
      </c>
      <c r="AW32" s="24">
        <f>IFERROR(VLOOKUP(AA32,係数!$B$3:$I$30,7,FALSE),0)</f>
        <v>0</v>
      </c>
      <c r="AX32" s="24" t="str">
        <f>IFERROR(VLOOKUP(AA32,係数!$B$3:$I$30,8,FALSE),"")</f>
        <v/>
      </c>
      <c r="AY32" s="24" t="str">
        <f>IFERROR(VLOOKUP(AA32,係数!$B$3:$I$30,4,FALSE),"")</f>
        <v/>
      </c>
      <c r="AZ32" s="24">
        <f>IFERROR(VLOOKUP(AA32,使用量と光熱費!$C$6:$I$10,7,FALSE),0)</f>
        <v>0</v>
      </c>
      <c r="BA32" s="24">
        <f>IFERROR(VLOOKUP(AA32,係数!$B$3:$I$30,2,FALSE),0)</f>
        <v>0</v>
      </c>
      <c r="BB32" s="24">
        <f t="shared" si="12"/>
        <v>0</v>
      </c>
    </row>
    <row r="33" spans="2:54" x14ac:dyDescent="0.55000000000000004">
      <c r="B33" s="194" t="s">
        <v>180</v>
      </c>
      <c r="C33" s="2"/>
      <c r="D33" s="10"/>
      <c r="E33" s="2"/>
      <c r="F33" s="2"/>
      <c r="G33" s="46"/>
      <c r="H33" s="431" t="str">
        <f t="shared" si="22"/>
        <v/>
      </c>
      <c r="I33" s="432" t="str">
        <f t="shared" si="0"/>
        <v>ー</v>
      </c>
      <c r="J33" s="432" t="str">
        <f t="shared" si="13"/>
        <v>ー</v>
      </c>
      <c r="K33" s="491"/>
      <c r="L33" s="453"/>
      <c r="M33" s="47"/>
      <c r="N33" s="2"/>
      <c r="O33" s="433" t="str">
        <f t="shared" si="23"/>
        <v/>
      </c>
      <c r="P33" s="2"/>
      <c r="Q33" s="2"/>
      <c r="R33" s="48">
        <f t="shared" si="14"/>
        <v>0</v>
      </c>
      <c r="S33" s="47"/>
      <c r="T33" s="516">
        <f t="shared" si="2"/>
        <v>0</v>
      </c>
      <c r="U33" s="48">
        <f t="shared" si="3"/>
        <v>0</v>
      </c>
      <c r="V33" s="95">
        <f t="shared" si="4"/>
        <v>0</v>
      </c>
      <c r="W33" s="306" t="str">
        <f t="shared" si="15"/>
        <v>ー</v>
      </c>
      <c r="X33" s="554">
        <f t="shared" si="5"/>
        <v>0</v>
      </c>
      <c r="Y33" s="2"/>
      <c r="Z33" s="2"/>
      <c r="AA33" s="46"/>
      <c r="AB33" s="491"/>
      <c r="AC33" s="453"/>
      <c r="AD33" s="47"/>
      <c r="AE33" s="519">
        <f t="shared" si="6"/>
        <v>0</v>
      </c>
      <c r="AF33" s="433" t="str">
        <f t="shared" si="16"/>
        <v/>
      </c>
      <c r="AG33" s="48">
        <f t="shared" si="17"/>
        <v>0</v>
      </c>
      <c r="AH33" s="489">
        <f t="shared" si="18"/>
        <v>0</v>
      </c>
      <c r="AI33" s="48">
        <f t="shared" si="7"/>
        <v>0</v>
      </c>
      <c r="AJ33" s="95">
        <f t="shared" si="19"/>
        <v>0</v>
      </c>
      <c r="AK33" s="306" t="str">
        <f t="shared" si="20"/>
        <v>ー</v>
      </c>
      <c r="AL33" s="554">
        <f t="shared" si="21"/>
        <v>0</v>
      </c>
      <c r="AM33" s="557">
        <f t="shared" si="8"/>
        <v>0</v>
      </c>
      <c r="AN33" s="558">
        <f t="shared" si="9"/>
        <v>0</v>
      </c>
      <c r="AO33" s="306" t="str">
        <f t="shared" si="10"/>
        <v>ー</v>
      </c>
      <c r="AQ33" s="24">
        <f>IFERROR(VLOOKUP(G33,係数!$B$3:$I$30,7,FALSE),0)</f>
        <v>0</v>
      </c>
      <c r="AR33" s="24" t="str">
        <f>IFERROR(VLOOKUP(G33,係数!$B$3:$I$30,8,FALSE),"")</f>
        <v/>
      </c>
      <c r="AS33" s="24" t="str">
        <f>IFERROR(VLOOKUP(G33,係数!$B$3:$I$30,4,FALSE),"")</f>
        <v/>
      </c>
      <c r="AT33" s="24">
        <f>IFERROR(VLOOKUP(G33,使用量と光熱費!$C$6:$I$10,7,FALSE),0)</f>
        <v>0</v>
      </c>
      <c r="AU33" s="24">
        <f>IFERROR(VLOOKUP(G33,係数!$B$3:$I$30,2,FALSE),0)</f>
        <v>0</v>
      </c>
      <c r="AV33" s="24">
        <f t="shared" si="11"/>
        <v>0</v>
      </c>
      <c r="AW33" s="24">
        <f>IFERROR(VLOOKUP(AA33,係数!$B$3:$I$30,7,FALSE),0)</f>
        <v>0</v>
      </c>
      <c r="AX33" s="24" t="str">
        <f>IFERROR(VLOOKUP(AA33,係数!$B$3:$I$30,8,FALSE),"")</f>
        <v/>
      </c>
      <c r="AY33" s="24" t="str">
        <f>IFERROR(VLOOKUP(AA33,係数!$B$3:$I$30,4,FALSE),"")</f>
        <v/>
      </c>
      <c r="AZ33" s="24">
        <f>IFERROR(VLOOKUP(AA33,使用量と光熱費!$C$6:$I$10,7,FALSE),0)</f>
        <v>0</v>
      </c>
      <c r="BA33" s="24">
        <f>IFERROR(VLOOKUP(AA33,係数!$B$3:$I$30,2,FALSE),0)</f>
        <v>0</v>
      </c>
      <c r="BB33" s="24">
        <f t="shared" si="12"/>
        <v>0</v>
      </c>
    </row>
    <row r="34" spans="2:54" x14ac:dyDescent="0.55000000000000004">
      <c r="B34" s="194" t="s">
        <v>181</v>
      </c>
      <c r="C34" s="2"/>
      <c r="D34" s="10"/>
      <c r="E34" s="2"/>
      <c r="F34" s="2"/>
      <c r="G34" s="46"/>
      <c r="H34" s="431" t="str">
        <f t="shared" si="22"/>
        <v/>
      </c>
      <c r="I34" s="432" t="str">
        <f t="shared" si="0"/>
        <v>ー</v>
      </c>
      <c r="J34" s="432" t="str">
        <f t="shared" si="13"/>
        <v>ー</v>
      </c>
      <c r="K34" s="491"/>
      <c r="L34" s="453"/>
      <c r="M34" s="47"/>
      <c r="N34" s="2"/>
      <c r="O34" s="433" t="str">
        <f t="shared" si="23"/>
        <v/>
      </c>
      <c r="P34" s="2"/>
      <c r="Q34" s="2"/>
      <c r="R34" s="48">
        <f t="shared" si="14"/>
        <v>0</v>
      </c>
      <c r="S34" s="47"/>
      <c r="T34" s="516">
        <f t="shared" si="2"/>
        <v>0</v>
      </c>
      <c r="U34" s="48">
        <f t="shared" si="3"/>
        <v>0</v>
      </c>
      <c r="V34" s="95">
        <f t="shared" si="4"/>
        <v>0</v>
      </c>
      <c r="W34" s="306" t="str">
        <f t="shared" si="15"/>
        <v>ー</v>
      </c>
      <c r="X34" s="554">
        <f t="shared" si="5"/>
        <v>0</v>
      </c>
      <c r="Y34" s="2"/>
      <c r="Z34" s="2"/>
      <c r="AA34" s="46"/>
      <c r="AB34" s="491"/>
      <c r="AC34" s="453"/>
      <c r="AD34" s="47"/>
      <c r="AE34" s="519">
        <f t="shared" si="6"/>
        <v>0</v>
      </c>
      <c r="AF34" s="433" t="str">
        <f t="shared" si="16"/>
        <v/>
      </c>
      <c r="AG34" s="48">
        <f t="shared" si="17"/>
        <v>0</v>
      </c>
      <c r="AH34" s="489">
        <f t="shared" si="18"/>
        <v>0</v>
      </c>
      <c r="AI34" s="48">
        <f t="shared" si="7"/>
        <v>0</v>
      </c>
      <c r="AJ34" s="95">
        <f t="shared" si="19"/>
        <v>0</v>
      </c>
      <c r="AK34" s="306" t="str">
        <f t="shared" si="20"/>
        <v>ー</v>
      </c>
      <c r="AL34" s="554">
        <f t="shared" si="21"/>
        <v>0</v>
      </c>
      <c r="AM34" s="557">
        <f t="shared" si="8"/>
        <v>0</v>
      </c>
      <c r="AN34" s="558">
        <f t="shared" si="9"/>
        <v>0</v>
      </c>
      <c r="AO34" s="306" t="str">
        <f t="shared" si="10"/>
        <v>ー</v>
      </c>
      <c r="AQ34" s="24">
        <f>IFERROR(VLOOKUP(G34,係数!$B$3:$I$30,7,FALSE),0)</f>
        <v>0</v>
      </c>
      <c r="AR34" s="24" t="str">
        <f>IFERROR(VLOOKUP(G34,係数!$B$3:$I$30,8,FALSE),"")</f>
        <v/>
      </c>
      <c r="AS34" s="24" t="str">
        <f>IFERROR(VLOOKUP(G34,係数!$B$3:$I$30,4,FALSE),"")</f>
        <v/>
      </c>
      <c r="AT34" s="24">
        <f>IFERROR(VLOOKUP(G34,使用量と光熱費!$C$6:$I$10,7,FALSE),0)</f>
        <v>0</v>
      </c>
      <c r="AU34" s="24">
        <f>IFERROR(VLOOKUP(G34,係数!$B$3:$I$30,2,FALSE),0)</f>
        <v>0</v>
      </c>
      <c r="AV34" s="24">
        <f t="shared" si="11"/>
        <v>0</v>
      </c>
      <c r="AW34" s="24">
        <f>IFERROR(VLOOKUP(AA34,係数!$B$3:$I$30,7,FALSE),0)</f>
        <v>0</v>
      </c>
      <c r="AX34" s="24" t="str">
        <f>IFERROR(VLOOKUP(AA34,係数!$B$3:$I$30,8,FALSE),"")</f>
        <v/>
      </c>
      <c r="AY34" s="24" t="str">
        <f>IFERROR(VLOOKUP(AA34,係数!$B$3:$I$30,4,FALSE),"")</f>
        <v/>
      </c>
      <c r="AZ34" s="24">
        <f>IFERROR(VLOOKUP(AA34,使用量と光熱費!$C$6:$I$10,7,FALSE),0)</f>
        <v>0</v>
      </c>
      <c r="BA34" s="24">
        <f>IFERROR(VLOOKUP(AA34,係数!$B$3:$I$30,2,FALSE),0)</f>
        <v>0</v>
      </c>
      <c r="BB34" s="24">
        <f t="shared" si="12"/>
        <v>0</v>
      </c>
    </row>
  </sheetData>
  <sheetProtection algorithmName="SHA-512" hashValue="g2iEXR0fvzM/EZ+5Kk4/57KPtOqzKHzZRbHB87DY3dxr2AesA4TTKR+IPF8UE0pLxZkbvvx7U9UCgUaC+dqSTg==" saltValue="O3mIo1MPBDrdN/fkT6Hs/w==" spinCount="100000" sheet="1" formatCells="0" formatColumns="0" formatRows="0"/>
  <mergeCells count="11">
    <mergeCell ref="M7:N8"/>
    <mergeCell ref="M9:N9"/>
    <mergeCell ref="B15:B16"/>
    <mergeCell ref="S7:U9"/>
    <mergeCell ref="D3:E3"/>
    <mergeCell ref="D4:E4"/>
    <mergeCell ref="D6:E6"/>
    <mergeCell ref="D5:E5"/>
    <mergeCell ref="M4:U4"/>
    <mergeCell ref="M3:U3"/>
    <mergeCell ref="M6:U6"/>
  </mergeCells>
  <phoneticPr fontId="5"/>
  <conditionalFormatting sqref="J6">
    <cfRule type="expression" dxfId="47" priority="18">
      <formula>$E$1="なし"</formula>
    </cfRule>
  </conditionalFormatting>
  <conditionalFormatting sqref="G6">
    <cfRule type="expression" dxfId="46" priority="17">
      <formula>$E$1="なし"</formula>
    </cfRule>
  </conditionalFormatting>
  <conditionalFormatting sqref="H6">
    <cfRule type="expression" dxfId="45" priority="16">
      <formula>$E$1="なし"</formula>
    </cfRule>
  </conditionalFormatting>
  <conditionalFormatting sqref="AD20:AD34">
    <cfRule type="expression" dxfId="44" priority="14">
      <formula>$D$1="なし"</formula>
    </cfRule>
  </conditionalFormatting>
  <conditionalFormatting sqref="AA20:AA34">
    <cfRule type="expression" dxfId="43" priority="13">
      <formula>$D$1="なし"</formula>
    </cfRule>
  </conditionalFormatting>
  <conditionalFormatting sqref="AK20:AK34">
    <cfRule type="expression" dxfId="42" priority="12">
      <formula>$D$1="なし"</formula>
    </cfRule>
  </conditionalFormatting>
  <conditionalFormatting sqref="AL20:AM34">
    <cfRule type="expression" dxfId="41" priority="11">
      <formula>$D$1="なし"</formula>
    </cfRule>
  </conditionalFormatting>
  <conditionalFormatting sqref="AF20:AF34">
    <cfRule type="expression" dxfId="40" priority="10">
      <formula>$D$1="なし"</formula>
    </cfRule>
  </conditionalFormatting>
  <conditionalFormatting sqref="AA18">
    <cfRule type="expression" dxfId="39" priority="6">
      <formula>$D$1="なし"</formula>
    </cfRule>
  </conditionalFormatting>
  <conditionalFormatting sqref="AB20:AB34">
    <cfRule type="expression" dxfId="38" priority="5">
      <formula>$D$1="なし"</formula>
    </cfRule>
  </conditionalFormatting>
  <conditionalFormatting sqref="Q9">
    <cfRule type="cellIs" dxfId="37" priority="4" operator="greaterThan">
      <formula>$O$9</formula>
    </cfRule>
  </conditionalFormatting>
  <conditionalFormatting sqref="R9">
    <cfRule type="cellIs" dxfId="36" priority="3" operator="greaterThan">
      <formula>$P$9</formula>
    </cfRule>
  </conditionalFormatting>
  <conditionalFormatting sqref="S7">
    <cfRule type="cellIs" dxfId="35" priority="2" operator="notEqual">
      <formula>"ー"</formula>
    </cfRule>
  </conditionalFormatting>
  <conditionalFormatting sqref="E20:E34">
    <cfRule type="expression" dxfId="34" priority="1">
      <formula>$D20&lt;&gt;"給湯器（HP）"</formula>
    </cfRule>
  </conditionalFormatting>
  <dataValidations count="3">
    <dataValidation type="list" allowBlank="1" showInputMessage="1" showErrorMessage="1" sqref="L18 AC18">
      <formula1>"　,t/h,kW"</formula1>
    </dataValidation>
    <dataValidation type="list" allowBlank="1" showInputMessage="1" showErrorMessage="1" sqref="D18 D20:D34">
      <formula1>"ボイラー,給湯器（加熱式）,給湯器（HP）"</formula1>
    </dataValidation>
    <dataValidation type="list" allowBlank="1" showInputMessage="1" showErrorMessage="1" sqref="AC20:AC34 L20:L34">
      <formula1>"t/h,kW"</formula1>
    </dataValidation>
  </dataValidations>
  <pageMargins left="0.70866141732283472" right="0.70866141732283472" top="0.74803149606299213" bottom="0.74803149606299213" header="0.31496062992125984" footer="0.31496062992125984"/>
  <pageSetup paperSize="9" scale="31" fitToHeight="0" orientation="landscape" r:id="rId1"/>
  <ignoredErrors>
    <ignoredError sqref="I5:J5 AN19:AO19 U19 AI19:AK1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係数!$B$3:$B$30</xm:f>
          </x14:formula1>
          <xm:sqref>AA20:AA34 AA18 G20:G34 G18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1"/>
  <sheetViews>
    <sheetView view="pageBreakPreview" zoomScaleNormal="70" zoomScaleSheetLayoutView="100" workbookViewId="0">
      <selection activeCell="C20" sqref="C20"/>
    </sheetView>
  </sheetViews>
  <sheetFormatPr defaultRowHeight="18" x14ac:dyDescent="0.55000000000000004"/>
  <cols>
    <col min="2" max="2" width="10.08203125" customWidth="1"/>
    <col min="3" max="3" width="10.83203125" customWidth="1"/>
    <col min="4" max="6" width="9.1640625" customWidth="1"/>
    <col min="7" max="7" width="9.1640625" style="142" customWidth="1"/>
    <col min="8" max="11" width="9.1640625" customWidth="1"/>
    <col min="12" max="12" width="9" customWidth="1"/>
    <col min="13" max="13" width="5" customWidth="1"/>
    <col min="14" max="16" width="9.1640625" customWidth="1"/>
    <col min="17" max="17" width="12.33203125" customWidth="1"/>
    <col min="18" max="18" width="9.1640625" customWidth="1"/>
    <col min="19" max="19" width="10.83203125" customWidth="1"/>
    <col min="20" max="28" width="9.1640625" customWidth="1"/>
    <col min="29" max="29" width="5" customWidth="1"/>
    <col min="30" max="32" width="9.1640625" customWidth="1"/>
  </cols>
  <sheetData>
    <row r="1" spans="1:35" s="27" customFormat="1" ht="29" x14ac:dyDescent="0.85">
      <c r="A1" s="26" t="s">
        <v>528</v>
      </c>
      <c r="F1" s="292"/>
      <c r="G1" s="301"/>
      <c r="H1" s="292"/>
      <c r="I1" s="296"/>
      <c r="J1" s="292"/>
      <c r="K1" s="292"/>
      <c r="L1" s="297"/>
      <c r="M1" s="292"/>
      <c r="N1" s="292"/>
    </row>
    <row r="2" spans="1:35" s="27" customFormat="1" x14ac:dyDescent="0.55000000000000004">
      <c r="A2" s="27" t="s">
        <v>190</v>
      </c>
      <c r="G2" s="146"/>
    </row>
    <row r="3" spans="1:35" s="27" customFormat="1" x14ac:dyDescent="0.55000000000000004">
      <c r="D3" s="680" t="s">
        <v>22</v>
      </c>
      <c r="E3" s="681"/>
      <c r="F3" s="167" t="s">
        <v>23</v>
      </c>
      <c r="G3" s="155" t="s">
        <v>24</v>
      </c>
      <c r="H3" s="155" t="s">
        <v>25</v>
      </c>
      <c r="I3" s="155" t="s">
        <v>26</v>
      </c>
      <c r="J3" s="180" t="s">
        <v>27</v>
      </c>
      <c r="L3" s="34"/>
      <c r="N3" s="635" t="s">
        <v>440</v>
      </c>
      <c r="O3" s="636"/>
      <c r="P3" s="636"/>
      <c r="Q3" s="636"/>
      <c r="R3" s="636"/>
      <c r="S3" s="636"/>
      <c r="T3" s="636"/>
      <c r="U3" s="636"/>
      <c r="V3" s="636"/>
      <c r="W3" s="637"/>
      <c r="Y3" s="141"/>
    </row>
    <row r="4" spans="1:35" s="27" customFormat="1" x14ac:dyDescent="0.55000000000000004">
      <c r="D4" s="682" t="s">
        <v>103</v>
      </c>
      <c r="E4" s="683"/>
      <c r="F4" s="212" t="s">
        <v>21</v>
      </c>
      <c r="G4" s="122">
        <f>Q19</f>
        <v>0</v>
      </c>
      <c r="H4" s="122">
        <f>AE19</f>
        <v>0</v>
      </c>
      <c r="I4" s="122">
        <f>G4-H4</f>
        <v>0</v>
      </c>
      <c r="J4" s="244">
        <f>IFERROR(I4/G4,0)</f>
        <v>0</v>
      </c>
      <c r="L4" s="34"/>
      <c r="N4" s="720"/>
      <c r="O4" s="721"/>
      <c r="P4" s="721"/>
      <c r="Q4" s="721"/>
      <c r="R4" s="721"/>
      <c r="S4" s="721"/>
      <c r="T4" s="721"/>
      <c r="U4" s="721"/>
      <c r="V4" s="721"/>
      <c r="W4" s="722"/>
    </row>
    <row r="5" spans="1:35" s="27" customFormat="1" x14ac:dyDescent="0.55000000000000004">
      <c r="D5" s="682" t="s">
        <v>104</v>
      </c>
      <c r="E5" s="683"/>
      <c r="F5" s="195" t="s">
        <v>9</v>
      </c>
      <c r="G5" s="123">
        <f>R19</f>
        <v>0</v>
      </c>
      <c r="H5" s="123">
        <f>AF19</f>
        <v>0</v>
      </c>
      <c r="I5" s="333">
        <f>G5-H5</f>
        <v>0</v>
      </c>
      <c r="J5" s="244">
        <f>IFERROR(I5/G5,0)</f>
        <v>0</v>
      </c>
      <c r="L5" s="34"/>
      <c r="N5" s="78"/>
      <c r="O5" s="78"/>
      <c r="P5" s="78"/>
      <c r="Q5" s="78"/>
      <c r="R5" s="78"/>
      <c r="S5" s="78"/>
      <c r="T5" s="78"/>
      <c r="U5" s="78"/>
      <c r="V5" s="78"/>
      <c r="W5" s="78"/>
    </row>
    <row r="6" spans="1:35" s="27" customFormat="1" x14ac:dyDescent="0.55000000000000004">
      <c r="D6" s="682" t="s">
        <v>3</v>
      </c>
      <c r="E6" s="683"/>
      <c r="F6" s="212" t="s">
        <v>30</v>
      </c>
      <c r="G6" s="303" t="str">
        <f>IF(使用量と光熱費!$I$6=0,"ー",G4*使用量と光熱費!$I$6)</f>
        <v>ー</v>
      </c>
      <c r="H6" s="303" t="str">
        <f>IF(使用量と光熱費!$I$6=0,"ー",H4*使用量と光熱費!$I$6)</f>
        <v>ー</v>
      </c>
      <c r="I6" s="293" t="str">
        <f>IF(OR(G6="ー",H6="ー"),"ー",G6-H6)</f>
        <v>ー</v>
      </c>
      <c r="J6" s="294" t="str">
        <f>IF(OR(G6="ー",I6="ー"),"ー",I6/G6)</f>
        <v>ー</v>
      </c>
      <c r="L6" s="34"/>
      <c r="N6" s="670" t="s">
        <v>437</v>
      </c>
      <c r="O6" s="670"/>
      <c r="P6" s="670"/>
      <c r="Q6" s="670"/>
      <c r="R6" s="670"/>
      <c r="S6" s="670"/>
      <c r="T6" s="670"/>
      <c r="U6" s="670"/>
      <c r="V6" s="670"/>
      <c r="W6" s="670"/>
    </row>
    <row r="7" spans="1:35" s="27" customFormat="1" x14ac:dyDescent="0.55000000000000004">
      <c r="D7" s="682" t="s">
        <v>31</v>
      </c>
      <c r="E7" s="683"/>
      <c r="F7" s="212" t="s">
        <v>32</v>
      </c>
      <c r="G7" s="245">
        <f>G4*係数!$C$30*0.0000258</f>
        <v>0</v>
      </c>
      <c r="H7" s="245">
        <f>H4*係数!$C$30*0.0000258</f>
        <v>0</v>
      </c>
      <c r="I7" s="166">
        <f>G7-H7</f>
        <v>0</v>
      </c>
      <c r="J7" s="244">
        <f>IFERROR(I7/G7,0)</f>
        <v>0</v>
      </c>
      <c r="N7" s="45" t="str">
        <f>IF(OR(H19=0,X19=0),"",IF(H19=X19,"なし",IF(H19&gt;X19,"減少","増加")))</f>
        <v/>
      </c>
      <c r="O7" s="719" t="str">
        <f>IF(OR(N7="",N7="なし"),"ー",IF(N7="減少","減少する理由を特記事項欄に記載してください。","やむを得ず増加する場合は特記事項欄に理由を記載してください。(要根拠資料提出)"))</f>
        <v>ー</v>
      </c>
      <c r="P7" s="719"/>
      <c r="Q7" s="719"/>
      <c r="R7" s="719"/>
      <c r="S7" s="719"/>
      <c r="T7" s="719"/>
      <c r="U7" s="719"/>
      <c r="V7" s="719"/>
      <c r="W7" s="719"/>
    </row>
    <row r="8" spans="1:35" s="27" customFormat="1" x14ac:dyDescent="0.55000000000000004">
      <c r="G8" s="146"/>
      <c r="N8"/>
      <c r="O8"/>
      <c r="P8"/>
      <c r="Q8"/>
      <c r="R8"/>
      <c r="S8"/>
      <c r="T8"/>
      <c r="U8"/>
      <c r="V8"/>
      <c r="W8"/>
    </row>
    <row r="9" spans="1:35" s="27" customFormat="1" x14ac:dyDescent="0.55000000000000004">
      <c r="G9" s="146"/>
    </row>
    <row r="10" spans="1:35" s="27" customFormat="1" x14ac:dyDescent="0.55000000000000004">
      <c r="B10" s="85"/>
      <c r="G10" s="146"/>
    </row>
    <row r="11" spans="1:35" s="27" customFormat="1" x14ac:dyDescent="0.55000000000000004">
      <c r="B11" s="85"/>
      <c r="G11" s="146"/>
    </row>
    <row r="12" spans="1:35" x14ac:dyDescent="0.55000000000000004">
      <c r="B12" s="85"/>
    </row>
    <row r="13" spans="1:35" x14ac:dyDescent="0.55000000000000004">
      <c r="B13" s="85"/>
    </row>
    <row r="14" spans="1:35" x14ac:dyDescent="0.55000000000000004">
      <c r="A14" s="27" t="s">
        <v>33</v>
      </c>
      <c r="B14" s="85"/>
      <c r="Q14" s="76"/>
    </row>
    <row r="15" spans="1:35" x14ac:dyDescent="0.55000000000000004">
      <c r="B15" s="677" t="s">
        <v>22</v>
      </c>
      <c r="C15" s="225" t="s">
        <v>24</v>
      </c>
      <c r="D15" s="231"/>
      <c r="E15" s="231"/>
      <c r="F15" s="231"/>
      <c r="G15" s="231"/>
      <c r="H15" s="323"/>
      <c r="I15" s="231"/>
      <c r="J15" s="231"/>
      <c r="K15" s="231"/>
      <c r="L15" s="231"/>
      <c r="M15" s="231"/>
      <c r="N15" s="231"/>
      <c r="O15" s="231"/>
      <c r="P15" s="231"/>
      <c r="Q15" s="231"/>
      <c r="R15" s="324"/>
      <c r="S15" s="225" t="s">
        <v>25</v>
      </c>
      <c r="T15" s="231"/>
      <c r="U15" s="231"/>
      <c r="V15" s="231"/>
      <c r="W15" s="231"/>
      <c r="X15" s="231"/>
      <c r="Y15" s="231"/>
      <c r="Z15" s="231"/>
      <c r="AA15" s="231"/>
      <c r="AB15" s="231"/>
      <c r="AC15" s="231"/>
      <c r="AD15" s="231"/>
      <c r="AE15" s="231"/>
      <c r="AF15" s="324"/>
      <c r="AG15" s="289" t="s">
        <v>34</v>
      </c>
      <c r="AH15" s="288"/>
      <c r="AI15" s="324"/>
    </row>
    <row r="16" spans="1:35" ht="72" x14ac:dyDescent="0.55000000000000004">
      <c r="B16" s="679"/>
      <c r="C16" s="471" t="s">
        <v>909</v>
      </c>
      <c r="D16" s="477" t="s">
        <v>192</v>
      </c>
      <c r="E16" s="471" t="s">
        <v>191</v>
      </c>
      <c r="F16" s="651" t="s">
        <v>193</v>
      </c>
      <c r="G16" s="652"/>
      <c r="H16" s="181" t="s">
        <v>194</v>
      </c>
      <c r="I16" s="471" t="s">
        <v>195</v>
      </c>
      <c r="J16" s="471" t="s">
        <v>196</v>
      </c>
      <c r="K16" s="471" t="s">
        <v>197</v>
      </c>
      <c r="L16" s="471" t="s">
        <v>198</v>
      </c>
      <c r="M16" s="471" t="s">
        <v>433</v>
      </c>
      <c r="N16" s="471" t="s">
        <v>922</v>
      </c>
      <c r="O16" s="471" t="s">
        <v>42</v>
      </c>
      <c r="P16" s="477" t="s">
        <v>900</v>
      </c>
      <c r="Q16" s="471" t="s">
        <v>38</v>
      </c>
      <c r="R16" s="472" t="s">
        <v>199</v>
      </c>
      <c r="S16" s="471" t="s">
        <v>35</v>
      </c>
      <c r="T16" s="477" t="s">
        <v>200</v>
      </c>
      <c r="U16" s="471" t="s">
        <v>191</v>
      </c>
      <c r="V16" s="651" t="s">
        <v>193</v>
      </c>
      <c r="W16" s="652"/>
      <c r="X16" s="471" t="s">
        <v>201</v>
      </c>
      <c r="Y16" s="471" t="s">
        <v>195</v>
      </c>
      <c r="Z16" s="471" t="s">
        <v>202</v>
      </c>
      <c r="AA16" s="471" t="s">
        <v>203</v>
      </c>
      <c r="AB16" s="471" t="s">
        <v>204</v>
      </c>
      <c r="AC16" s="471" t="s">
        <v>433</v>
      </c>
      <c r="AD16" s="477" t="s">
        <v>901</v>
      </c>
      <c r="AE16" s="471" t="s">
        <v>43</v>
      </c>
      <c r="AF16" s="472" t="s">
        <v>205</v>
      </c>
      <c r="AG16" s="472" t="s">
        <v>206</v>
      </c>
      <c r="AH16" s="475" t="s">
        <v>1035</v>
      </c>
      <c r="AI16" s="472" t="s">
        <v>207</v>
      </c>
    </row>
    <row r="17" spans="2:35" x14ac:dyDescent="0.55000000000000004">
      <c r="B17" s="227" t="s">
        <v>23</v>
      </c>
      <c r="C17" s="354"/>
      <c r="D17" s="530" t="s">
        <v>1042</v>
      </c>
      <c r="E17" s="354"/>
      <c r="F17" s="707"/>
      <c r="G17" s="708"/>
      <c r="H17" s="530" t="s">
        <v>425</v>
      </c>
      <c r="I17" s="530" t="s">
        <v>1043</v>
      </c>
      <c r="J17" s="167" t="s">
        <v>426</v>
      </c>
      <c r="K17" s="167" t="s">
        <v>124</v>
      </c>
      <c r="L17" s="167" t="s">
        <v>1044</v>
      </c>
      <c r="M17" s="354"/>
      <c r="N17" s="529" t="s">
        <v>1039</v>
      </c>
      <c r="O17" s="529" t="s">
        <v>1040</v>
      </c>
      <c r="P17" s="167" t="s">
        <v>208</v>
      </c>
      <c r="Q17" s="252" t="s">
        <v>21</v>
      </c>
      <c r="R17" s="195" t="s">
        <v>9</v>
      </c>
      <c r="S17" s="354"/>
      <c r="T17" s="530" t="s">
        <v>1042</v>
      </c>
      <c r="U17" s="354"/>
      <c r="V17" s="707"/>
      <c r="W17" s="708"/>
      <c r="X17" s="530" t="s">
        <v>19</v>
      </c>
      <c r="Y17" s="530" t="s">
        <v>1043</v>
      </c>
      <c r="Z17" s="167" t="s">
        <v>20</v>
      </c>
      <c r="AA17" s="167" t="s">
        <v>124</v>
      </c>
      <c r="AB17" s="167" t="s">
        <v>1044</v>
      </c>
      <c r="AC17" s="354"/>
      <c r="AD17" s="167" t="s">
        <v>208</v>
      </c>
      <c r="AE17" s="252" t="s">
        <v>21</v>
      </c>
      <c r="AF17" s="195" t="s">
        <v>9</v>
      </c>
      <c r="AG17" s="252" t="s">
        <v>21</v>
      </c>
      <c r="AH17" s="527" t="s">
        <v>928</v>
      </c>
      <c r="AI17" s="195" t="s">
        <v>9</v>
      </c>
    </row>
    <row r="18" spans="2:35" ht="18" customHeight="1" x14ac:dyDescent="0.55000000000000004">
      <c r="B18" s="186" t="s">
        <v>266</v>
      </c>
      <c r="C18" s="325" t="s">
        <v>477</v>
      </c>
      <c r="D18" s="233">
        <v>2</v>
      </c>
      <c r="E18" s="178" t="s">
        <v>434</v>
      </c>
      <c r="F18" s="713" t="str">
        <f>IF(E18="IE1","標準効率",IF(E18="IE2","高効率",IF(E18="IE3","プレミアム効率",IF(E18="IE4","スーパープレミアム効率",""))))</f>
        <v>高効率</v>
      </c>
      <c r="G18" s="714"/>
      <c r="H18" s="178">
        <v>7.5</v>
      </c>
      <c r="I18" s="178" t="s">
        <v>257</v>
      </c>
      <c r="J18" s="234">
        <f>IF(I18="2極",AVERAGEIFS(モーター効率!$C$2:$C$122,モーター効率!$A$2:$A$122,E18,モーター効率!$B$2:$B$122,H18),IF(I18="4極",AVERAGEIFS(モーター効率!$D$2:$D$122,モーター効率!$A$2:$A$122,E18,モーター効率!$B$2:$B$122,H18),IF(I18="6極",AVERAGEIFS(モーター効率!$E$2:$E$122,モーター効率!$A$2:$A$122,E18,モーター効率!$B$2:$B$122,H18),IF(I18="8極",AVERAGEIFS(モーター効率!$F$2:$F$122,モーター効率!$A$2:$A$122,E18,モーター効率!$B$2:$B$122,H18),""))))</f>
        <v>0.88700000000000001</v>
      </c>
      <c r="K18" s="235">
        <f>IF(J18="","",H18/J18)</f>
        <v>8.4554678692220975</v>
      </c>
      <c r="L18" s="236">
        <v>0.8</v>
      </c>
      <c r="M18" s="237" t="s">
        <v>410</v>
      </c>
      <c r="N18" s="507">
        <v>8</v>
      </c>
      <c r="O18" s="507">
        <v>320</v>
      </c>
      <c r="P18" s="239">
        <f>N18*O18</f>
        <v>2560</v>
      </c>
      <c r="Q18" s="191">
        <f>IF(AND(D18="",K18="",L18="",P18=""),"",IF(M18="○",D18*K18*L18^2*P18,K18*L18*P18*D18))</f>
        <v>34633.596392333711</v>
      </c>
      <c r="R18" s="192">
        <f>IF(Q18="","",Q18*係数!$H$30)</f>
        <v>15.827553551296505</v>
      </c>
      <c r="S18" s="326" t="s">
        <v>489</v>
      </c>
      <c r="T18" s="233">
        <v>2</v>
      </c>
      <c r="U18" s="178" t="s">
        <v>209</v>
      </c>
      <c r="V18" s="705" t="str">
        <f>IF(U18="IE1","標準効率",IF(U18="IE2","高効率",IF(U18="IE3","プレミアム効率",IF(U18="IE4","スーパープレミアム効率",""))))</f>
        <v>プレミアム効率</v>
      </c>
      <c r="W18" s="706"/>
      <c r="X18" s="175">
        <v>7.5</v>
      </c>
      <c r="Y18" s="178" t="s">
        <v>257</v>
      </c>
      <c r="Z18" s="234">
        <f>IF(Y18="2極",AVERAGEIFS(モーター効率!$C$2:$C$122,モーター効率!$A$2:$A$122,U18,モーター効率!$B$2:$B$122,X18),IF(Y18="4極",AVERAGEIFS(モーター効率!$D$2:$D$122,モーター効率!$A$2:$A$122,U18,モーター効率!$B$2:$B$122,X18),IF(Y18="6極",AVERAGEIFS(モーター効率!$E$2:$E$122,モーター効率!$A$2:$A$122,U18,モーター効率!$B$2:$B$122,X18),IF(Y18="8極",AVERAGEIFS(モーター効率!$F$2:$F$122,モーター効率!$A$2:$A$122,U18,モーター効率!$B$2:$B$122,X18),""))))</f>
        <v>0.90400000000000003</v>
      </c>
      <c r="AA18" s="235">
        <f>IF(Z18="","",X18/Z18)</f>
        <v>8.2964601769911503</v>
      </c>
      <c r="AB18" s="238">
        <f>IF(OR(H18=0,L18=0,X18=0),"",IF(H18&lt;X18,H18*L18/X18,L18))</f>
        <v>0.8</v>
      </c>
      <c r="AC18" s="237" t="s">
        <v>276</v>
      </c>
      <c r="AD18" s="239">
        <f>IF(P18="","",P18)</f>
        <v>2560</v>
      </c>
      <c r="AE18" s="191">
        <f>IF(AND(T18="",AA18="",AB18="",AD18=""),"",IF(AC18="○",T18*AA18*AB18^2*AD18,T18*AA18*AB18*AD18))</f>
        <v>27185.840707964606</v>
      </c>
      <c r="AF18" s="358">
        <f>IF(AE18="","",AE18*係数!$H$30)</f>
        <v>12.423929203539824</v>
      </c>
      <c r="AG18" s="241">
        <f>IF(OR(Q18="",AE18=""),"",Q18-AE18)</f>
        <v>7447.7556843691054</v>
      </c>
      <c r="AH18" s="541">
        <f>AG18*係数!$C$30*0.0000258</f>
        <v>1.9157564036675276</v>
      </c>
      <c r="AI18" s="358">
        <f>IF(OR(R18="",AF18=""),"",R18-AF18)</f>
        <v>3.403624347756681</v>
      </c>
    </row>
    <row r="19" spans="2:35" x14ac:dyDescent="0.55000000000000004">
      <c r="B19" s="460" t="s">
        <v>18</v>
      </c>
      <c r="C19" s="104"/>
      <c r="D19">
        <f>SUM(D20:D29)</f>
        <v>0</v>
      </c>
      <c r="E19" s="104"/>
      <c r="F19" s="711"/>
      <c r="G19" s="712"/>
      <c r="H19" s="162">
        <f>SUMPRODUCT(D20:D29*H$20:H$29)</f>
        <v>0</v>
      </c>
      <c r="I19" s="104"/>
      <c r="J19" s="104"/>
      <c r="K19" s="104"/>
      <c r="L19" s="104"/>
      <c r="M19" s="104"/>
      <c r="N19" s="162"/>
      <c r="O19" s="162"/>
      <c r="P19" s="498">
        <f>SUM(P20:P29)</f>
        <v>0</v>
      </c>
      <c r="Q19" s="79">
        <f>SUM(Q20:Q29)</f>
        <v>0</v>
      </c>
      <c r="R19" s="92">
        <f>SUM(R20:R29)</f>
        <v>0</v>
      </c>
      <c r="S19" s="135"/>
      <c r="T19">
        <f>SUM(T20:T29)</f>
        <v>0</v>
      </c>
      <c r="U19" s="104"/>
      <c r="V19" s="717"/>
      <c r="W19" s="718"/>
      <c r="X19" s="3">
        <f>SUMPRODUCT(T20:T29*X$20:X$29)</f>
        <v>0</v>
      </c>
      <c r="Y19" s="104"/>
      <c r="Z19" s="104"/>
      <c r="AA19" s="104"/>
      <c r="AB19" s="159"/>
      <c r="AC19" s="104"/>
      <c r="AD19">
        <f t="shared" ref="AD19:AI19" si="0">SUM(AD20:AD29)</f>
        <v>0</v>
      </c>
      <c r="AE19" s="79">
        <f t="shared" si="0"/>
        <v>0</v>
      </c>
      <c r="AF19" s="454">
        <f t="shared" si="0"/>
        <v>0</v>
      </c>
      <c r="AG19" s="242">
        <f t="shared" si="0"/>
        <v>0</v>
      </c>
      <c r="AH19" s="559">
        <f t="shared" si="0"/>
        <v>0</v>
      </c>
      <c r="AI19" s="454">
        <f t="shared" si="0"/>
        <v>0</v>
      </c>
    </row>
    <row r="20" spans="2:35" x14ac:dyDescent="0.55000000000000004">
      <c r="B20" s="194" t="s">
        <v>52</v>
      </c>
      <c r="C20" s="6"/>
      <c r="D20" s="6"/>
      <c r="E20" s="137"/>
      <c r="F20" s="709" t="str">
        <f t="shared" ref="F20:F29" si="1">IF(E20="IE1","標準効率",IF(E20="IE2","高効率",IF(E20="IE3","プレミアム効率",IF(E20="IE4","スーパープレミアム効率",""))))</f>
        <v/>
      </c>
      <c r="G20" s="710"/>
      <c r="H20" s="463"/>
      <c r="I20" s="137"/>
      <c r="J20" s="49" t="str">
        <f>IF(I20="2極",AVERAGEIFS(モーター効率!$C$2:$C$122,モーター効率!$A$2:$A$122,E20,モーター効率!$B$2:$B$122,H20),IF(I20="4極",AVERAGEIFS(モーター効率!$D$2:$D$122,モーター効率!$A$2:$A$122,E20,モーター効率!$B$2:$B$122,H20),IF(I20="6極",AVERAGEIFS(モーター効率!$E$2:$E$122,モーター効率!$A$2:$A$122,E20,モーター効率!$B$2:$B$122,H20),IF(I20="8極",AVERAGEIFS(モーター効率!$F$2:$F$122,モーター効率!$A$2:$A$122,E20,モーター効率!$B$2:$B$122,H20),""))))</f>
        <v/>
      </c>
      <c r="K20" s="50" t="str">
        <f t="shared" ref="K20:K29" si="2">IF(J20="","",H20/J20)</f>
        <v/>
      </c>
      <c r="L20" s="28"/>
      <c r="M20" s="465"/>
      <c r="N20" s="508"/>
      <c r="O20" s="508"/>
      <c r="P20" s="506">
        <f t="shared" ref="P20:P29" si="3">N20*O20</f>
        <v>0</v>
      </c>
      <c r="Q20" s="12">
        <f t="shared" ref="Q20:Q29" si="4">IF(OR(D20="",K20="",L20="",P20=""),0,IF(M20="○",D20*K20*L20^2*P20,D20*K20*L20*P20))</f>
        <v>0</v>
      </c>
      <c r="R20" s="455">
        <f>IF(Q20="","",Q20*係数!$H$30)</f>
        <v>0</v>
      </c>
      <c r="S20" s="510"/>
      <c r="T20" s="6"/>
      <c r="U20" s="137"/>
      <c r="V20" s="715" t="str">
        <f t="shared" ref="V20:V29" si="5">IF(U20="IE1","標準効率",IF(U20="IE2","高効率",IF(U20="IE3","プレミアム効率",IF(U20="IE4","スーパープレミアム効率",""))))</f>
        <v/>
      </c>
      <c r="W20" s="716"/>
      <c r="X20" s="464"/>
      <c r="Y20" s="137"/>
      <c r="Z20" s="49" t="str">
        <f>IF(Y20="2極",AVERAGEIFS(モーター効率!$C$2:$C$122,モーター効率!$A$2:$A$122,U20,モーター効率!$B$2:$B$122,X20),IF(Y20="4極",AVERAGEIFS(モーター効率!$D$2:$D$122,モーター効率!$A$2:$A$122,U20,モーター効率!$B$2:$B$122,X20),IF(Y20="6極",AVERAGEIFS(モーター効率!$E$2:$E$122,モーター効率!$A$2:$A$122,U20,モーター効率!$B$2:$B$122,X20),IF(Y20="8極",AVERAGEIFS(モーター効率!$F$2:$F$122,モーター効率!$A$2:$A$122,U20,モーター効率!$B$2:$B$122,X20),""))))</f>
        <v/>
      </c>
      <c r="AA20" s="50" t="str">
        <f t="shared" ref="AA20:AA29" si="6">IF(Z20="","",X20/Z20)</f>
        <v/>
      </c>
      <c r="AB20" s="157" t="str">
        <f t="shared" ref="AB20:AB29" si="7">IF(OR(H20=0,L20=0,X20=0),"",IF(H20&lt;X20,H20*L20/X20,L20))</f>
        <v/>
      </c>
      <c r="AC20" s="465"/>
      <c r="AD20" s="151">
        <f>IF(P20="","",P20)</f>
        <v>0</v>
      </c>
      <c r="AE20" s="12">
        <f>IF(OR(T20="",AA20="",AB20="",AD20=""),0,IF(AC20="○",T20*AA20*AB20^2*AD20,T20*AA20*AB20*AD20))</f>
        <v>0</v>
      </c>
      <c r="AF20" s="440">
        <f>IF(AE20="","",AE20*係数!$H$30)</f>
        <v>0</v>
      </c>
      <c r="AG20" s="243">
        <f>IF(OR(Q20="",AE20=""),"",Q20-AE20)</f>
        <v>0</v>
      </c>
      <c r="AH20" s="560">
        <f>AG20*係数!$C$30*0.0000258</f>
        <v>0</v>
      </c>
      <c r="AI20" s="561">
        <f t="shared" ref="AI20:AI29" si="8">IF(OR(R20="",AF20=""),"",R20-AF20)</f>
        <v>0</v>
      </c>
    </row>
    <row r="21" spans="2:35" x14ac:dyDescent="0.55000000000000004">
      <c r="B21" s="194" t="s">
        <v>53</v>
      </c>
      <c r="C21" s="6"/>
      <c r="D21" s="6"/>
      <c r="E21" s="137"/>
      <c r="F21" s="709" t="str">
        <f t="shared" si="1"/>
        <v/>
      </c>
      <c r="G21" s="710"/>
      <c r="H21" s="463"/>
      <c r="I21" s="137"/>
      <c r="J21" s="49" t="str">
        <f>IF(I21="2極",AVERAGEIFS(モーター効率!$C$2:$C$122,モーター効率!$A$2:$A$122,E21,モーター効率!$B$2:$B$122,H21),IF(I21="4極",AVERAGEIFS(モーター効率!$D$2:$D$122,モーター効率!$A$2:$A$122,E21,モーター効率!$B$2:$B$122,H21),IF(I21="6極",AVERAGEIFS(モーター効率!$E$2:$E$122,モーター効率!$A$2:$A$122,E21,モーター効率!$B$2:$B$122,H21),IF(I21="8極",AVERAGEIFS(モーター効率!$F$2:$F$122,モーター効率!$A$2:$A$122,E21,モーター効率!$B$2:$B$122,H21),""))))</f>
        <v/>
      </c>
      <c r="K21" s="50" t="str">
        <f t="shared" si="2"/>
        <v/>
      </c>
      <c r="L21" s="28"/>
      <c r="M21" s="466"/>
      <c r="N21" s="509"/>
      <c r="O21" s="509"/>
      <c r="P21" s="506">
        <f t="shared" si="3"/>
        <v>0</v>
      </c>
      <c r="Q21" s="12">
        <f t="shared" si="4"/>
        <v>0</v>
      </c>
      <c r="R21" s="455">
        <f>IF(Q21="","",Q21*係数!$H$30)</f>
        <v>0</v>
      </c>
      <c r="S21" s="510"/>
      <c r="T21" s="6"/>
      <c r="U21" s="137"/>
      <c r="V21" s="715" t="str">
        <f t="shared" si="5"/>
        <v/>
      </c>
      <c r="W21" s="716"/>
      <c r="X21" s="464"/>
      <c r="Y21" s="137"/>
      <c r="Z21" s="49" t="str">
        <f>IF(Y21="2極",AVERAGEIFS(モーター効率!$C$2:$C$122,モーター効率!$A$2:$A$122,U21,モーター効率!$B$2:$B$122,X21),IF(Y21="4極",AVERAGEIFS(モーター効率!$D$2:$D$122,モーター効率!$A$2:$A$122,U21,モーター効率!$B$2:$B$122,X21),IF(Y21="6極",AVERAGEIFS(モーター効率!$E$2:$E$122,モーター効率!$A$2:$A$122,U21,モーター効率!$B$2:$B$122,X21),IF(Y21="8極",AVERAGEIFS(モーター効率!$F$2:$F$122,モーター効率!$A$2:$A$122,U21,モーター効率!$B$2:$B$122,X21),""))))</f>
        <v/>
      </c>
      <c r="AA21" s="50" t="str">
        <f t="shared" si="6"/>
        <v/>
      </c>
      <c r="AB21" s="157" t="str">
        <f t="shared" si="7"/>
        <v/>
      </c>
      <c r="AC21" s="466"/>
      <c r="AD21" s="151">
        <f>IF(P21="","",P21)</f>
        <v>0</v>
      </c>
      <c r="AE21" s="12">
        <f t="shared" ref="AE21:AE29" si="9">IF(OR(T21="",AA21="",AB21="",AD21=""),0,IF(AC21="○",T21*AA21*AB21^2*AD21,T21*AA21*AB21*AD21))</f>
        <v>0</v>
      </c>
      <c r="AF21" s="440">
        <f>IF(AE21="","",AE21*係数!$H$30)</f>
        <v>0</v>
      </c>
      <c r="AG21" s="243">
        <f t="shared" ref="AG21:AG29" si="10">IF(OR(Q21="",AE21=""),"",Q21-AE21)</f>
        <v>0</v>
      </c>
      <c r="AH21" s="560">
        <f>AG21*係数!$C$30*0.0000258</f>
        <v>0</v>
      </c>
      <c r="AI21" s="561">
        <f t="shared" si="8"/>
        <v>0</v>
      </c>
    </row>
    <row r="22" spans="2:35" x14ac:dyDescent="0.55000000000000004">
      <c r="B22" s="194" t="s">
        <v>54</v>
      </c>
      <c r="C22" s="6"/>
      <c r="D22" s="6"/>
      <c r="E22" s="137"/>
      <c r="F22" s="709" t="str">
        <f t="shared" si="1"/>
        <v/>
      </c>
      <c r="G22" s="710"/>
      <c r="H22" s="463"/>
      <c r="I22" s="137"/>
      <c r="J22" s="49" t="str">
        <f>IF(I22="2極",AVERAGEIFS(モーター効率!$C$2:$C$122,モーター効率!$A$2:$A$122,E22,モーター効率!$B$2:$B$122,H22),IF(I22="4極",AVERAGEIFS(モーター効率!$D$2:$D$122,モーター効率!$A$2:$A$122,E22,モーター効率!$B$2:$B$122,H22),IF(I22="6極",AVERAGEIFS(モーター効率!$E$2:$E$122,モーター効率!$A$2:$A$122,E22,モーター効率!$B$2:$B$122,H22),IF(I22="8極",AVERAGEIFS(モーター効率!$F$2:$F$122,モーター効率!$A$2:$A$122,E22,モーター効率!$B$2:$B$122,H22),""))))</f>
        <v/>
      </c>
      <c r="K22" s="50" t="str">
        <f t="shared" si="2"/>
        <v/>
      </c>
      <c r="L22" s="28"/>
      <c r="M22" s="466"/>
      <c r="N22" s="509"/>
      <c r="O22" s="509"/>
      <c r="P22" s="506">
        <f t="shared" si="3"/>
        <v>0</v>
      </c>
      <c r="Q22" s="12">
        <f t="shared" si="4"/>
        <v>0</v>
      </c>
      <c r="R22" s="455">
        <f>IF(Q22="","",Q22*係数!$H$30)</f>
        <v>0</v>
      </c>
      <c r="S22" s="510"/>
      <c r="T22" s="6"/>
      <c r="U22" s="137"/>
      <c r="V22" s="715" t="str">
        <f t="shared" si="5"/>
        <v/>
      </c>
      <c r="W22" s="716"/>
      <c r="X22" s="464"/>
      <c r="Y22" s="137"/>
      <c r="Z22" s="49" t="str">
        <f>IF(Y22="2極",AVERAGEIFS(モーター効率!$C$2:$C$122,モーター効率!$A$2:$A$122,U22,モーター効率!$B$2:$B$122,X22),IF(Y22="4極",AVERAGEIFS(モーター効率!$D$2:$D$122,モーター効率!$A$2:$A$122,U22,モーター効率!$B$2:$B$122,X22),IF(Y22="6極",AVERAGEIFS(モーター効率!$E$2:$E$122,モーター効率!$A$2:$A$122,U22,モーター効率!$B$2:$B$122,X22),IF(Y22="8極",AVERAGEIFS(モーター効率!$F$2:$F$122,モーター効率!$A$2:$A$122,U22,モーター効率!$B$2:$B$122,X22),""))))</f>
        <v/>
      </c>
      <c r="AA22" s="50" t="str">
        <f t="shared" si="6"/>
        <v/>
      </c>
      <c r="AB22" s="157" t="str">
        <f t="shared" si="7"/>
        <v/>
      </c>
      <c r="AC22" s="466"/>
      <c r="AD22" s="151">
        <f t="shared" ref="AD22:AD29" si="11">IF(P22="","",P22)</f>
        <v>0</v>
      </c>
      <c r="AE22" s="12">
        <f t="shared" si="9"/>
        <v>0</v>
      </c>
      <c r="AF22" s="440">
        <f>IF(AE22="","",AE22*係数!$H$30)</f>
        <v>0</v>
      </c>
      <c r="AG22" s="243">
        <f t="shared" si="10"/>
        <v>0</v>
      </c>
      <c r="AH22" s="560">
        <f>AG22*係数!$C$30*0.0000258</f>
        <v>0</v>
      </c>
      <c r="AI22" s="561">
        <f t="shared" si="8"/>
        <v>0</v>
      </c>
    </row>
    <row r="23" spans="2:35" x14ac:dyDescent="0.55000000000000004">
      <c r="B23" s="194" t="s">
        <v>55</v>
      </c>
      <c r="C23" s="6"/>
      <c r="D23" s="6"/>
      <c r="E23" s="137"/>
      <c r="F23" s="709" t="str">
        <f t="shared" si="1"/>
        <v/>
      </c>
      <c r="G23" s="710"/>
      <c r="H23" s="463"/>
      <c r="I23" s="137"/>
      <c r="J23" s="49" t="str">
        <f>IF(I23="2極",AVERAGEIFS(モーター効率!$C$2:$C$122,モーター効率!$A$2:$A$122,E23,モーター効率!$B$2:$B$122,H23),IF(I23="4極",AVERAGEIFS(モーター効率!$D$2:$D$122,モーター効率!$A$2:$A$122,E23,モーター効率!$B$2:$B$122,H23),IF(I23="6極",AVERAGEIFS(モーター効率!$E$2:$E$122,モーター効率!$A$2:$A$122,E23,モーター効率!$B$2:$B$122,H23),IF(I23="8極",AVERAGEIFS(モーター効率!$F$2:$F$122,モーター効率!$A$2:$A$122,E23,モーター効率!$B$2:$B$122,H23),""))))</f>
        <v/>
      </c>
      <c r="K23" s="50" t="str">
        <f t="shared" si="2"/>
        <v/>
      </c>
      <c r="L23" s="28"/>
      <c r="M23" s="466"/>
      <c r="N23" s="509"/>
      <c r="O23" s="509"/>
      <c r="P23" s="506">
        <f t="shared" si="3"/>
        <v>0</v>
      </c>
      <c r="Q23" s="12">
        <f t="shared" si="4"/>
        <v>0</v>
      </c>
      <c r="R23" s="455">
        <f>IF(Q23="","",Q23*係数!$H$30)</f>
        <v>0</v>
      </c>
      <c r="S23" s="510"/>
      <c r="T23" s="6"/>
      <c r="U23" s="137"/>
      <c r="V23" s="715" t="str">
        <f t="shared" si="5"/>
        <v/>
      </c>
      <c r="W23" s="716"/>
      <c r="X23" s="464"/>
      <c r="Y23" s="137"/>
      <c r="Z23" s="49" t="str">
        <f>IF(Y23="2極",AVERAGEIFS(モーター効率!$C$2:$C$122,モーター効率!$A$2:$A$122,U23,モーター効率!$B$2:$B$122,X23),IF(Y23="4極",AVERAGEIFS(モーター効率!$D$2:$D$122,モーター効率!$A$2:$A$122,U23,モーター効率!$B$2:$B$122,X23),IF(Y23="6極",AVERAGEIFS(モーター効率!$E$2:$E$122,モーター効率!$A$2:$A$122,U23,モーター効率!$B$2:$B$122,X23),IF(Y23="8極",AVERAGEIFS(モーター効率!$F$2:$F$122,モーター効率!$A$2:$A$122,U23,モーター効率!$B$2:$B$122,X23),""))))</f>
        <v/>
      </c>
      <c r="AA23" s="50" t="str">
        <f t="shared" si="6"/>
        <v/>
      </c>
      <c r="AB23" s="157" t="str">
        <f t="shared" si="7"/>
        <v/>
      </c>
      <c r="AC23" s="466"/>
      <c r="AD23" s="151">
        <f t="shared" si="11"/>
        <v>0</v>
      </c>
      <c r="AE23" s="12">
        <f t="shared" si="9"/>
        <v>0</v>
      </c>
      <c r="AF23" s="440">
        <f>IF(AE23="","",AE23*係数!$H$30)</f>
        <v>0</v>
      </c>
      <c r="AG23" s="243">
        <f t="shared" si="10"/>
        <v>0</v>
      </c>
      <c r="AH23" s="560">
        <f>AG23*係数!$C$30*0.0000258</f>
        <v>0</v>
      </c>
      <c r="AI23" s="561">
        <f t="shared" si="8"/>
        <v>0</v>
      </c>
    </row>
    <row r="24" spans="2:35" x14ac:dyDescent="0.55000000000000004">
      <c r="B24" s="194" t="s">
        <v>56</v>
      </c>
      <c r="C24" s="6"/>
      <c r="D24" s="6"/>
      <c r="E24" s="137"/>
      <c r="F24" s="709" t="str">
        <f t="shared" si="1"/>
        <v/>
      </c>
      <c r="G24" s="710"/>
      <c r="H24" s="463"/>
      <c r="I24" s="137"/>
      <c r="J24" s="49" t="str">
        <f>IF(I24="2極",AVERAGEIFS(モーター効率!$C$2:$C$122,モーター効率!$A$2:$A$122,E24,モーター効率!$B$2:$B$122,H24),IF(I24="4極",AVERAGEIFS(モーター効率!$D$2:$D$122,モーター効率!$A$2:$A$122,E24,モーター効率!$B$2:$B$122,H24),IF(I24="6極",AVERAGEIFS(モーター効率!$E$2:$E$122,モーター効率!$A$2:$A$122,E24,モーター効率!$B$2:$B$122,H24),IF(I24="8極",AVERAGEIFS(モーター効率!$F$2:$F$122,モーター効率!$A$2:$A$122,E24,モーター効率!$B$2:$B$122,H24),""))))</f>
        <v/>
      </c>
      <c r="K24" s="50" t="str">
        <f t="shared" si="2"/>
        <v/>
      </c>
      <c r="L24" s="28"/>
      <c r="M24" s="466"/>
      <c r="N24" s="509"/>
      <c r="O24" s="509"/>
      <c r="P24" s="506">
        <f t="shared" si="3"/>
        <v>0</v>
      </c>
      <c r="Q24" s="12">
        <f t="shared" si="4"/>
        <v>0</v>
      </c>
      <c r="R24" s="455">
        <f>IF(Q24="","",Q24*係数!$H$30)</f>
        <v>0</v>
      </c>
      <c r="S24" s="510"/>
      <c r="T24" s="6"/>
      <c r="U24" s="137"/>
      <c r="V24" s="715" t="str">
        <f t="shared" si="5"/>
        <v/>
      </c>
      <c r="W24" s="716"/>
      <c r="X24" s="464"/>
      <c r="Y24" s="137"/>
      <c r="Z24" s="49" t="str">
        <f>IF(Y24="2極",AVERAGEIFS(モーター効率!$C$2:$C$122,モーター効率!$A$2:$A$122,U24,モーター効率!$B$2:$B$122,X24),IF(Y24="4極",AVERAGEIFS(モーター効率!$D$2:$D$122,モーター効率!$A$2:$A$122,U24,モーター効率!$B$2:$B$122,X24),IF(Y24="6極",AVERAGEIFS(モーター効率!$E$2:$E$122,モーター効率!$A$2:$A$122,U24,モーター効率!$B$2:$B$122,X24),IF(Y24="8極",AVERAGEIFS(モーター効率!$F$2:$F$122,モーター効率!$A$2:$A$122,U24,モーター効率!$B$2:$B$122,X24),""))))</f>
        <v/>
      </c>
      <c r="AA24" s="50" t="str">
        <f t="shared" si="6"/>
        <v/>
      </c>
      <c r="AB24" s="157" t="str">
        <f t="shared" si="7"/>
        <v/>
      </c>
      <c r="AC24" s="466"/>
      <c r="AD24" s="151">
        <f t="shared" si="11"/>
        <v>0</v>
      </c>
      <c r="AE24" s="12">
        <f t="shared" si="9"/>
        <v>0</v>
      </c>
      <c r="AF24" s="440">
        <f>IF(AE24="","",AE24*係数!$H$30)</f>
        <v>0</v>
      </c>
      <c r="AG24" s="243">
        <f t="shared" si="10"/>
        <v>0</v>
      </c>
      <c r="AH24" s="560">
        <f>AG24*係数!$C$30*0.0000258</f>
        <v>0</v>
      </c>
      <c r="AI24" s="561">
        <f t="shared" si="8"/>
        <v>0</v>
      </c>
    </row>
    <row r="25" spans="2:35" x14ac:dyDescent="0.55000000000000004">
      <c r="B25" s="194" t="s">
        <v>57</v>
      </c>
      <c r="C25" s="6"/>
      <c r="D25" s="6"/>
      <c r="E25" s="137"/>
      <c r="F25" s="709" t="str">
        <f t="shared" si="1"/>
        <v/>
      </c>
      <c r="G25" s="710"/>
      <c r="H25" s="463"/>
      <c r="I25" s="137"/>
      <c r="J25" s="49" t="str">
        <f>IF(I25="2極",AVERAGEIFS(モーター効率!$C$2:$C$122,モーター効率!$A$2:$A$122,E25,モーター効率!$B$2:$B$122,H25),IF(I25="4極",AVERAGEIFS(モーター効率!$D$2:$D$122,モーター効率!$A$2:$A$122,E25,モーター効率!$B$2:$B$122,H25),IF(I25="6極",AVERAGEIFS(モーター効率!$E$2:$E$122,モーター効率!$A$2:$A$122,E25,モーター効率!$B$2:$B$122,H25),IF(I25="8極",AVERAGEIFS(モーター効率!$F$2:$F$122,モーター効率!$A$2:$A$122,E25,モーター効率!$B$2:$B$122,H25),""))))</f>
        <v/>
      </c>
      <c r="K25" s="50" t="str">
        <f t="shared" si="2"/>
        <v/>
      </c>
      <c r="L25" s="28"/>
      <c r="M25" s="466"/>
      <c r="N25" s="509"/>
      <c r="O25" s="509"/>
      <c r="P25" s="506">
        <f t="shared" si="3"/>
        <v>0</v>
      </c>
      <c r="Q25" s="12">
        <f t="shared" si="4"/>
        <v>0</v>
      </c>
      <c r="R25" s="455">
        <f>IF(Q25="","",Q25*係数!$H$30)</f>
        <v>0</v>
      </c>
      <c r="S25" s="510"/>
      <c r="T25" s="6"/>
      <c r="U25" s="137"/>
      <c r="V25" s="715" t="str">
        <f t="shared" si="5"/>
        <v/>
      </c>
      <c r="W25" s="716"/>
      <c r="X25" s="464"/>
      <c r="Y25" s="137"/>
      <c r="Z25" s="49" t="str">
        <f>IF(Y25="2極",AVERAGEIFS(モーター効率!$C$2:$C$122,モーター効率!$A$2:$A$122,U25,モーター効率!$B$2:$B$122,X25),IF(Y25="4極",AVERAGEIFS(モーター効率!$D$2:$D$122,モーター効率!$A$2:$A$122,U25,モーター効率!$B$2:$B$122,X25),IF(Y25="6極",AVERAGEIFS(モーター効率!$E$2:$E$122,モーター効率!$A$2:$A$122,U25,モーター効率!$B$2:$B$122,X25),IF(Y25="8極",AVERAGEIFS(モーター効率!$F$2:$F$122,モーター効率!$A$2:$A$122,U25,モーター効率!$B$2:$B$122,X25),""))))</f>
        <v/>
      </c>
      <c r="AA25" s="50" t="str">
        <f t="shared" si="6"/>
        <v/>
      </c>
      <c r="AB25" s="157" t="str">
        <f t="shared" si="7"/>
        <v/>
      </c>
      <c r="AC25" s="466"/>
      <c r="AD25" s="151">
        <f t="shared" si="11"/>
        <v>0</v>
      </c>
      <c r="AE25" s="12">
        <f t="shared" si="9"/>
        <v>0</v>
      </c>
      <c r="AF25" s="440">
        <f>IF(AE25="","",AE25*係数!$H$30)</f>
        <v>0</v>
      </c>
      <c r="AG25" s="243">
        <f t="shared" si="10"/>
        <v>0</v>
      </c>
      <c r="AH25" s="560">
        <f>AG25*係数!$C$30*0.0000258</f>
        <v>0</v>
      </c>
      <c r="AI25" s="561">
        <f t="shared" si="8"/>
        <v>0</v>
      </c>
    </row>
    <row r="26" spans="2:35" x14ac:dyDescent="0.55000000000000004">
      <c r="B26" s="194" t="s">
        <v>58</v>
      </c>
      <c r="C26" s="6"/>
      <c r="D26" s="6"/>
      <c r="E26" s="137"/>
      <c r="F26" s="709" t="str">
        <f t="shared" si="1"/>
        <v/>
      </c>
      <c r="G26" s="710"/>
      <c r="H26" s="463"/>
      <c r="I26" s="137"/>
      <c r="J26" s="49" t="str">
        <f>IF(I26="2極",AVERAGEIFS(モーター効率!$C$2:$C$122,モーター効率!$A$2:$A$122,E26,モーター効率!$B$2:$B$122,H26),IF(I26="4極",AVERAGEIFS(モーター効率!$D$2:$D$122,モーター効率!$A$2:$A$122,E26,モーター効率!$B$2:$B$122,H26),IF(I26="6極",AVERAGEIFS(モーター効率!$E$2:$E$122,モーター効率!$A$2:$A$122,E26,モーター効率!$B$2:$B$122,H26),IF(I26="8極",AVERAGEIFS(モーター効率!$F$2:$F$122,モーター効率!$A$2:$A$122,E26,モーター効率!$B$2:$B$122,H26),""))))</f>
        <v/>
      </c>
      <c r="K26" s="50" t="str">
        <f t="shared" si="2"/>
        <v/>
      </c>
      <c r="L26" s="28"/>
      <c r="M26" s="466"/>
      <c r="N26" s="509"/>
      <c r="O26" s="509"/>
      <c r="P26" s="506">
        <f t="shared" si="3"/>
        <v>0</v>
      </c>
      <c r="Q26" s="12">
        <f t="shared" si="4"/>
        <v>0</v>
      </c>
      <c r="R26" s="455">
        <f>IF(Q26="","",Q26*係数!$H$30)</f>
        <v>0</v>
      </c>
      <c r="S26" s="510"/>
      <c r="T26" s="6"/>
      <c r="U26" s="137"/>
      <c r="V26" s="715" t="str">
        <f t="shared" si="5"/>
        <v/>
      </c>
      <c r="W26" s="716"/>
      <c r="X26" s="464"/>
      <c r="Y26" s="137"/>
      <c r="Z26" s="49" t="str">
        <f>IF(Y26="2極",AVERAGEIFS(モーター効率!$C$2:$C$122,モーター効率!$A$2:$A$122,U26,モーター効率!$B$2:$B$122,X26),IF(Y26="4極",AVERAGEIFS(モーター効率!$D$2:$D$122,モーター効率!$A$2:$A$122,U26,モーター効率!$B$2:$B$122,X26),IF(Y26="6極",AVERAGEIFS(モーター効率!$E$2:$E$122,モーター効率!$A$2:$A$122,U26,モーター効率!$B$2:$B$122,X26),IF(Y26="8極",AVERAGEIFS(モーター効率!$F$2:$F$122,モーター効率!$A$2:$A$122,U26,モーター効率!$B$2:$B$122,X26),""))))</f>
        <v/>
      </c>
      <c r="AA26" s="50" t="str">
        <f t="shared" si="6"/>
        <v/>
      </c>
      <c r="AB26" s="157" t="str">
        <f t="shared" si="7"/>
        <v/>
      </c>
      <c r="AC26" s="466"/>
      <c r="AD26" s="151">
        <f t="shared" si="11"/>
        <v>0</v>
      </c>
      <c r="AE26" s="12">
        <f t="shared" si="9"/>
        <v>0</v>
      </c>
      <c r="AF26" s="440">
        <f>IF(AE26="","",AE26*係数!$H$30)</f>
        <v>0</v>
      </c>
      <c r="AG26" s="243">
        <f t="shared" si="10"/>
        <v>0</v>
      </c>
      <c r="AH26" s="560">
        <f>AG26*係数!$C$30*0.0000258</f>
        <v>0</v>
      </c>
      <c r="AI26" s="561">
        <f t="shared" si="8"/>
        <v>0</v>
      </c>
    </row>
    <row r="27" spans="2:35" x14ac:dyDescent="0.55000000000000004">
      <c r="B27" s="194" t="s">
        <v>59</v>
      </c>
      <c r="C27" s="6"/>
      <c r="D27" s="6"/>
      <c r="E27" s="137"/>
      <c r="F27" s="709" t="str">
        <f t="shared" si="1"/>
        <v/>
      </c>
      <c r="G27" s="710"/>
      <c r="H27" s="463"/>
      <c r="I27" s="137"/>
      <c r="J27" s="49" t="str">
        <f>IF(I27="2極",AVERAGEIFS(モーター効率!$C$2:$C$122,モーター効率!$A$2:$A$122,E27,モーター効率!$B$2:$B$122,H27),IF(I27="4極",AVERAGEIFS(モーター効率!$D$2:$D$122,モーター効率!$A$2:$A$122,E27,モーター効率!$B$2:$B$122,H27),IF(I27="6極",AVERAGEIFS(モーター効率!$E$2:$E$122,モーター効率!$A$2:$A$122,E27,モーター効率!$B$2:$B$122,H27),IF(I27="8極",AVERAGEIFS(モーター効率!$F$2:$F$122,モーター効率!$A$2:$A$122,E27,モーター効率!$B$2:$B$122,H27),""))))</f>
        <v/>
      </c>
      <c r="K27" s="50" t="str">
        <f t="shared" si="2"/>
        <v/>
      </c>
      <c r="L27" s="28"/>
      <c r="M27" s="466"/>
      <c r="N27" s="509"/>
      <c r="O27" s="509"/>
      <c r="P27" s="506">
        <f t="shared" si="3"/>
        <v>0</v>
      </c>
      <c r="Q27" s="12">
        <f t="shared" si="4"/>
        <v>0</v>
      </c>
      <c r="R27" s="455">
        <f>IF(Q27="","",Q27*係数!$H$30)</f>
        <v>0</v>
      </c>
      <c r="S27" s="510"/>
      <c r="T27" s="6"/>
      <c r="U27" s="137"/>
      <c r="V27" s="715" t="str">
        <f t="shared" si="5"/>
        <v/>
      </c>
      <c r="W27" s="716"/>
      <c r="X27" s="464"/>
      <c r="Y27" s="137"/>
      <c r="Z27" s="49" t="str">
        <f>IF(Y27="2極",AVERAGEIFS(モーター効率!$C$2:$C$122,モーター効率!$A$2:$A$122,U27,モーター効率!$B$2:$B$122,X27),IF(Y27="4極",AVERAGEIFS(モーター効率!$D$2:$D$122,モーター効率!$A$2:$A$122,U27,モーター効率!$B$2:$B$122,X27),IF(Y27="6極",AVERAGEIFS(モーター効率!$E$2:$E$122,モーター効率!$A$2:$A$122,U27,モーター効率!$B$2:$B$122,X27),IF(Y27="8極",AVERAGEIFS(モーター効率!$F$2:$F$122,モーター効率!$A$2:$A$122,U27,モーター効率!$B$2:$B$122,X27),""))))</f>
        <v/>
      </c>
      <c r="AA27" s="50" t="str">
        <f t="shared" si="6"/>
        <v/>
      </c>
      <c r="AB27" s="157" t="str">
        <f t="shared" si="7"/>
        <v/>
      </c>
      <c r="AC27" s="466"/>
      <c r="AD27" s="151">
        <f t="shared" si="11"/>
        <v>0</v>
      </c>
      <c r="AE27" s="12">
        <f t="shared" si="9"/>
        <v>0</v>
      </c>
      <c r="AF27" s="440">
        <f>IF(AE27="","",AE27*係数!$H$30)</f>
        <v>0</v>
      </c>
      <c r="AG27" s="243">
        <f t="shared" si="10"/>
        <v>0</v>
      </c>
      <c r="AH27" s="560">
        <f>AG27*係数!$C$30*0.0000258</f>
        <v>0</v>
      </c>
      <c r="AI27" s="561">
        <f t="shared" si="8"/>
        <v>0</v>
      </c>
    </row>
    <row r="28" spans="2:35" x14ac:dyDescent="0.55000000000000004">
      <c r="B28" s="194" t="s">
        <v>60</v>
      </c>
      <c r="C28" s="6"/>
      <c r="D28" s="6"/>
      <c r="E28" s="137"/>
      <c r="F28" s="709" t="str">
        <f t="shared" si="1"/>
        <v/>
      </c>
      <c r="G28" s="710"/>
      <c r="H28" s="463"/>
      <c r="I28" s="137"/>
      <c r="J28" s="49" t="str">
        <f>IF(I28="2極",AVERAGEIFS(モーター効率!$C$2:$C$122,モーター効率!$A$2:$A$122,E28,モーター効率!$B$2:$B$122,H28),IF(I28="4極",AVERAGEIFS(モーター効率!$D$2:$D$122,モーター効率!$A$2:$A$122,E28,モーター効率!$B$2:$B$122,H28),IF(I28="6極",AVERAGEIFS(モーター効率!$E$2:$E$122,モーター効率!$A$2:$A$122,E28,モーター効率!$B$2:$B$122,H28),IF(I28="8極",AVERAGEIFS(モーター効率!$F$2:$F$122,モーター効率!$A$2:$A$122,E28,モーター効率!$B$2:$B$122,H28),""))))</f>
        <v/>
      </c>
      <c r="K28" s="50" t="str">
        <f t="shared" si="2"/>
        <v/>
      </c>
      <c r="L28" s="28"/>
      <c r="M28" s="466"/>
      <c r="N28" s="509"/>
      <c r="O28" s="509"/>
      <c r="P28" s="506">
        <f t="shared" si="3"/>
        <v>0</v>
      </c>
      <c r="Q28" s="12">
        <f t="shared" si="4"/>
        <v>0</v>
      </c>
      <c r="R28" s="455">
        <f>IF(Q28="","",Q28*係数!$H$30)</f>
        <v>0</v>
      </c>
      <c r="S28" s="510"/>
      <c r="T28" s="6"/>
      <c r="U28" s="137"/>
      <c r="V28" s="715" t="str">
        <f t="shared" si="5"/>
        <v/>
      </c>
      <c r="W28" s="716"/>
      <c r="X28" s="464"/>
      <c r="Y28" s="137"/>
      <c r="Z28" s="49" t="str">
        <f>IF(Y28="2極",AVERAGEIFS(モーター効率!$C$2:$C$122,モーター効率!$A$2:$A$122,U28,モーター効率!$B$2:$B$122,X28),IF(Y28="4極",AVERAGEIFS(モーター効率!$D$2:$D$122,モーター効率!$A$2:$A$122,U28,モーター効率!$B$2:$B$122,X28),IF(Y28="6極",AVERAGEIFS(モーター効率!$E$2:$E$122,モーター効率!$A$2:$A$122,U28,モーター効率!$B$2:$B$122,X28),IF(Y28="8極",AVERAGEIFS(モーター効率!$F$2:$F$122,モーター効率!$A$2:$A$122,U28,モーター効率!$B$2:$B$122,X28),""))))</f>
        <v/>
      </c>
      <c r="AA28" s="50" t="str">
        <f t="shared" si="6"/>
        <v/>
      </c>
      <c r="AB28" s="157" t="str">
        <f t="shared" si="7"/>
        <v/>
      </c>
      <c r="AC28" s="466"/>
      <c r="AD28" s="151">
        <f t="shared" si="11"/>
        <v>0</v>
      </c>
      <c r="AE28" s="12">
        <f t="shared" si="9"/>
        <v>0</v>
      </c>
      <c r="AF28" s="440">
        <f>IF(AE28="","",AE28*係数!$H$30)</f>
        <v>0</v>
      </c>
      <c r="AG28" s="243">
        <f t="shared" si="10"/>
        <v>0</v>
      </c>
      <c r="AH28" s="560">
        <f>AG28*係数!$C$30*0.0000258</f>
        <v>0</v>
      </c>
      <c r="AI28" s="561">
        <f t="shared" si="8"/>
        <v>0</v>
      </c>
    </row>
    <row r="29" spans="2:35" x14ac:dyDescent="0.55000000000000004">
      <c r="B29" s="194" t="s">
        <v>61</v>
      </c>
      <c r="C29" s="6"/>
      <c r="D29" s="6"/>
      <c r="E29" s="137"/>
      <c r="F29" s="709" t="str">
        <f t="shared" si="1"/>
        <v/>
      </c>
      <c r="G29" s="710"/>
      <c r="H29" s="463"/>
      <c r="I29" s="137"/>
      <c r="J29" s="49" t="str">
        <f>IF(I29="2極",AVERAGEIFS(モーター効率!$C$2:$C$122,モーター効率!$A$2:$A$122,E29,モーター効率!$B$2:$B$122,H29),IF(I29="4極",AVERAGEIFS(モーター効率!$D$2:$D$122,モーター効率!$A$2:$A$122,E29,モーター効率!$B$2:$B$122,H29),IF(I29="6極",AVERAGEIFS(モーター効率!$E$2:$E$122,モーター効率!$A$2:$A$122,E29,モーター効率!$B$2:$B$122,H29),IF(I29="8極",AVERAGEIFS(モーター効率!$F$2:$F$122,モーター効率!$A$2:$A$122,E29,モーター効率!$B$2:$B$122,H29),""))))</f>
        <v/>
      </c>
      <c r="K29" s="50" t="str">
        <f t="shared" si="2"/>
        <v/>
      </c>
      <c r="L29" s="28"/>
      <c r="M29" s="466"/>
      <c r="N29" s="509"/>
      <c r="O29" s="509"/>
      <c r="P29" s="506">
        <f t="shared" si="3"/>
        <v>0</v>
      </c>
      <c r="Q29" s="12">
        <f t="shared" si="4"/>
        <v>0</v>
      </c>
      <c r="R29" s="455">
        <f>IF(Q29="","",Q29*係数!$H$30)</f>
        <v>0</v>
      </c>
      <c r="S29" s="510"/>
      <c r="T29" s="6"/>
      <c r="U29" s="137"/>
      <c r="V29" s="715" t="str">
        <f t="shared" si="5"/>
        <v/>
      </c>
      <c r="W29" s="716"/>
      <c r="X29" s="464"/>
      <c r="Y29" s="137"/>
      <c r="Z29" s="49" t="str">
        <f>IF(Y29="2極",AVERAGEIFS(モーター効率!$C$2:$C$122,モーター効率!$A$2:$A$122,U29,モーター効率!$B$2:$B$122,X29),IF(Y29="4極",AVERAGEIFS(モーター効率!$D$2:$D$122,モーター効率!$A$2:$A$122,U29,モーター効率!$B$2:$B$122,X29),IF(Y29="6極",AVERAGEIFS(モーター効率!$E$2:$E$122,モーター効率!$A$2:$A$122,U29,モーター効率!$B$2:$B$122,X29),IF(Y29="8極",AVERAGEIFS(モーター効率!$F$2:$F$122,モーター効率!$A$2:$A$122,U29,モーター効率!$B$2:$B$122,X29),""))))</f>
        <v/>
      </c>
      <c r="AA29" s="50" t="str">
        <f t="shared" si="6"/>
        <v/>
      </c>
      <c r="AB29" s="157" t="str">
        <f t="shared" si="7"/>
        <v/>
      </c>
      <c r="AC29" s="466"/>
      <c r="AD29" s="151">
        <f t="shared" si="11"/>
        <v>0</v>
      </c>
      <c r="AE29" s="12">
        <f t="shared" si="9"/>
        <v>0</v>
      </c>
      <c r="AF29" s="440">
        <f>IF(AE29="","",AE29*係数!$H$30)</f>
        <v>0</v>
      </c>
      <c r="AG29" s="243">
        <f t="shared" si="10"/>
        <v>0</v>
      </c>
      <c r="AH29" s="560">
        <f>AG29*係数!$C$30*0.0000258</f>
        <v>0</v>
      </c>
      <c r="AI29" s="561">
        <f t="shared" si="8"/>
        <v>0</v>
      </c>
    </row>
    <row r="31" spans="2:35" x14ac:dyDescent="0.55000000000000004">
      <c r="AC31" s="158"/>
    </row>
  </sheetData>
  <sheetProtection password="CC4B" sheet="1" formatCells="0" formatColumns="0" formatRows="0"/>
  <mergeCells count="38">
    <mergeCell ref="B15:B16"/>
    <mergeCell ref="N6:W6"/>
    <mergeCell ref="O7:W7"/>
    <mergeCell ref="N4:W4"/>
    <mergeCell ref="D3:E3"/>
    <mergeCell ref="D4:E4"/>
    <mergeCell ref="D5:E5"/>
    <mergeCell ref="D6:E6"/>
    <mergeCell ref="D7:E7"/>
    <mergeCell ref="N3:W3"/>
    <mergeCell ref="V16:W16"/>
    <mergeCell ref="V29:W29"/>
    <mergeCell ref="V28:W28"/>
    <mergeCell ref="V27:W27"/>
    <mergeCell ref="V26:W26"/>
    <mergeCell ref="V25:W25"/>
    <mergeCell ref="V24:W24"/>
    <mergeCell ref="V23:W23"/>
    <mergeCell ref="V22:W22"/>
    <mergeCell ref="V21:W21"/>
    <mergeCell ref="V19:W19"/>
    <mergeCell ref="V20:W20"/>
    <mergeCell ref="V18:W18"/>
    <mergeCell ref="V17:W17"/>
    <mergeCell ref="F16:G16"/>
    <mergeCell ref="F29:G29"/>
    <mergeCell ref="F28:G28"/>
    <mergeCell ref="F27:G27"/>
    <mergeCell ref="F26:G26"/>
    <mergeCell ref="F25:G25"/>
    <mergeCell ref="F24:G24"/>
    <mergeCell ref="F23:G23"/>
    <mergeCell ref="F22:G22"/>
    <mergeCell ref="F21:G21"/>
    <mergeCell ref="F20:G20"/>
    <mergeCell ref="F19:G19"/>
    <mergeCell ref="F17:G17"/>
    <mergeCell ref="F18:G18"/>
  </mergeCells>
  <phoneticPr fontId="5"/>
  <conditionalFormatting sqref="AF20:AF29">
    <cfRule type="expression" dxfId="33" priority="9">
      <formula>#REF!="なし"</formula>
    </cfRule>
  </conditionalFormatting>
  <conditionalFormatting sqref="J4:J6">
    <cfRule type="expression" dxfId="32" priority="8">
      <formula>$E$1="なし"</formula>
    </cfRule>
  </conditionalFormatting>
  <conditionalFormatting sqref="G6">
    <cfRule type="expression" dxfId="31" priority="7">
      <formula>$E$1="なし"</formula>
    </cfRule>
  </conditionalFormatting>
  <conditionalFormatting sqref="H6">
    <cfRule type="expression" dxfId="30" priority="6">
      <formula>$E$1="なし"</formula>
    </cfRule>
  </conditionalFormatting>
  <conditionalFormatting sqref="J7">
    <cfRule type="expression" dxfId="29" priority="5">
      <formula>$E$1="なし"</formula>
    </cfRule>
  </conditionalFormatting>
  <conditionalFormatting sqref="G7">
    <cfRule type="expression" dxfId="28" priority="4">
      <formula>$E$1="なし"</formula>
    </cfRule>
  </conditionalFormatting>
  <conditionalFormatting sqref="H7">
    <cfRule type="expression" dxfId="27" priority="3">
      <formula>$E$1="なし"</formula>
    </cfRule>
  </conditionalFormatting>
  <conditionalFormatting sqref="X19">
    <cfRule type="cellIs" dxfId="26" priority="2" operator="greaterThan">
      <formula>$H$19</formula>
    </cfRule>
  </conditionalFormatting>
  <conditionalFormatting sqref="O7:W7">
    <cfRule type="cellIs" dxfId="25" priority="1" operator="notEqual">
      <formula>"ー"</formula>
    </cfRule>
  </conditionalFormatting>
  <dataValidations count="4">
    <dataValidation type="list" allowBlank="1" showInputMessage="1" showErrorMessage="1" sqref="E20:E29 U20:U29 E18 U18">
      <formula1>"IE1,IE2,IE3,IE4"</formula1>
    </dataValidation>
    <dataValidation type="list" allowBlank="1" showInputMessage="1" showErrorMessage="1" sqref="AC18 AC20:AC29 M18 M20:M29">
      <formula1>"○"</formula1>
    </dataValidation>
    <dataValidation type="list" allowBlank="1" showInputMessage="1" showErrorMessage="1" sqref="X18 H18 X20:X29">
      <formula1>INDIRECT("range"&amp;E18)</formula1>
    </dataValidation>
    <dataValidation type="list" errorStyle="warning" allowBlank="1" showInputMessage="1" showErrorMessage="1" errorTitle="プルダウンにない出力のモーターの場合" error="手入力の上、根拠となる資料を別途提出してください。" sqref="H20:H29">
      <formula1>INDIRECT("range"&amp;E20)</formula1>
    </dataValidation>
  </dataValidations>
  <pageMargins left="0.70866141732283472" right="0.70866141732283472" top="0.74803149606299213" bottom="0.74803149606299213" header="0.31496062992125984" footer="0.31496062992125984"/>
  <pageSetup paperSize="9" scale="37" fitToHeight="0" orientation="landscape" r:id="rId1"/>
  <ignoredErrors>
    <ignoredError sqref="I6:J6 R19:S19 AH19:AI19 U19:W19 Y19:AG19" formula="1"/>
  </ignoredError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IF($E$20="IE4",モーター効率!$C$1:$F$1,モーター効率!$C$1:$E$1)</xm:f>
          </x14:formula1>
          <xm:sqref>I20 I18</xm:sqref>
        </x14:dataValidation>
        <x14:dataValidation type="list" allowBlank="1" showInputMessage="1" showErrorMessage="1">
          <x14:formula1>
            <xm:f>IF($E$21="IE4",モーター効率!$C$1:$F$1,モーター効率!$C$1:$E$1)</xm:f>
          </x14:formula1>
          <xm:sqref>I21</xm:sqref>
        </x14:dataValidation>
        <x14:dataValidation type="list" allowBlank="1" showInputMessage="1" showErrorMessage="1">
          <x14:formula1>
            <xm:f>IF($E$22="IE4",モーター効率!$C$1:$F$1,モーター効率!$C$1:$E$1)</xm:f>
          </x14:formula1>
          <xm:sqref>I22</xm:sqref>
        </x14:dataValidation>
        <x14:dataValidation type="list" allowBlank="1" showInputMessage="1" showErrorMessage="1">
          <x14:formula1>
            <xm:f>IF($E$23="IE4",モーター効率!$C$1:$F$1,モーター効率!$C$1:$E$1)</xm:f>
          </x14:formula1>
          <xm:sqref>I23</xm:sqref>
        </x14:dataValidation>
        <x14:dataValidation type="list" allowBlank="1" showInputMessage="1" showErrorMessage="1">
          <x14:formula1>
            <xm:f>IF($E$24="IE4",モーター効率!$C$1:$F$1,モーター効率!$C$1:$E$1)</xm:f>
          </x14:formula1>
          <xm:sqref>I24</xm:sqref>
        </x14:dataValidation>
        <x14:dataValidation type="list" allowBlank="1" showInputMessage="1" showErrorMessage="1">
          <x14:formula1>
            <xm:f>IF($E$25="IE4",モーター効率!$C$1:$F$1,モーター効率!$C$1:$E$1)</xm:f>
          </x14:formula1>
          <xm:sqref>I25</xm:sqref>
        </x14:dataValidation>
        <x14:dataValidation type="list" allowBlank="1" showInputMessage="1" showErrorMessage="1">
          <x14:formula1>
            <xm:f>IF($E$26="IE4",モーター効率!$C$1:$F$1,モーター効率!$C$1:$E$1)</xm:f>
          </x14:formula1>
          <xm:sqref>I26</xm:sqref>
        </x14:dataValidation>
        <x14:dataValidation type="list" allowBlank="1" showInputMessage="1" showErrorMessage="1">
          <x14:formula1>
            <xm:f>IF($E$27="IE4",モーター効率!$C$1:$F$1,モーター効率!$C$1:$E$1)</xm:f>
          </x14:formula1>
          <xm:sqref>I27</xm:sqref>
        </x14:dataValidation>
        <x14:dataValidation type="list" allowBlank="1" showInputMessage="1" showErrorMessage="1">
          <x14:formula1>
            <xm:f>IF($E$28="IE4",モーター効率!$C$1:$F$1,モーター効率!$C$1:$E$1)</xm:f>
          </x14:formula1>
          <xm:sqref>I28</xm:sqref>
        </x14:dataValidation>
        <x14:dataValidation type="list" allowBlank="1" showInputMessage="1" showErrorMessage="1">
          <x14:formula1>
            <xm:f>IF($E$29="IE4",モーター効率!$C$1:$F$1,モーター効率!$C$1:$E$1)</xm:f>
          </x14:formula1>
          <xm:sqref>I29</xm:sqref>
        </x14:dataValidation>
        <x14:dataValidation type="list" allowBlank="1" showInputMessage="1" showErrorMessage="1">
          <x14:formula1>
            <xm:f>IF($U$21="IE4",モーター効率!$C$1:$F$1,モーター効率!$C$1:$E$1)</xm:f>
          </x14:formula1>
          <xm:sqref>Y21</xm:sqref>
        </x14:dataValidation>
        <x14:dataValidation type="list" allowBlank="1" showInputMessage="1" showErrorMessage="1">
          <x14:formula1>
            <xm:f>IF($U$22="IE4",モーター効率!$C$1:$F$1,モーター効率!$C$1:$E$1)</xm:f>
          </x14:formula1>
          <xm:sqref>Y22</xm:sqref>
        </x14:dataValidation>
        <x14:dataValidation type="list" allowBlank="1" showInputMessage="1" showErrorMessage="1">
          <x14:formula1>
            <xm:f>IF($U$23="IE4",モーター効率!$C$1:$F$1,モーター効率!$C$1:$E$1)</xm:f>
          </x14:formula1>
          <xm:sqref>Y23</xm:sqref>
        </x14:dataValidation>
        <x14:dataValidation type="list" allowBlank="1" showInputMessage="1" showErrorMessage="1">
          <x14:formula1>
            <xm:f>IF($U$24="IE4",モーター効率!$C$1:$F$1,モーター効率!$C$1:$E$1)</xm:f>
          </x14:formula1>
          <xm:sqref>Y24</xm:sqref>
        </x14:dataValidation>
        <x14:dataValidation type="list" allowBlank="1" showInputMessage="1" showErrorMessage="1">
          <x14:formula1>
            <xm:f>IF($U$25="IE4",モーター効率!$C$1:$F$1,モーター効率!$C$1:$E$1)</xm:f>
          </x14:formula1>
          <xm:sqref>Y25</xm:sqref>
        </x14:dataValidation>
        <x14:dataValidation type="list" allowBlank="1" showInputMessage="1" showErrorMessage="1">
          <x14:formula1>
            <xm:f>IF($U$26="IE4",モーター効率!$C$1:$F$1,モーター効率!$C$1:$E$1)</xm:f>
          </x14:formula1>
          <xm:sqref>Y26</xm:sqref>
        </x14:dataValidation>
        <x14:dataValidation type="list" allowBlank="1" showInputMessage="1" showErrorMessage="1">
          <x14:formula1>
            <xm:f>IF($U$27="IE4",モーター効率!$C$1:$F$1,モーター効率!$C$1:$E$1)</xm:f>
          </x14:formula1>
          <xm:sqref>Y27</xm:sqref>
        </x14:dataValidation>
        <x14:dataValidation type="list" allowBlank="1" showInputMessage="1" showErrorMessage="1">
          <x14:formula1>
            <xm:f>IF($U$28="IE4",モーター効率!$C$1:$F$1,モーター効率!$C$1:$E$1)</xm:f>
          </x14:formula1>
          <xm:sqref>Y28</xm:sqref>
        </x14:dataValidation>
        <x14:dataValidation type="list" allowBlank="1" showInputMessage="1" showErrorMessage="1">
          <x14:formula1>
            <xm:f>IF($U$29="IE4",モーター効率!$C$1:$F$1,モーター効率!$C$1:$E$1)</xm:f>
          </x14:formula1>
          <xm:sqref>Y29</xm:sqref>
        </x14:dataValidation>
        <x14:dataValidation type="list" allowBlank="1" showInputMessage="1" showErrorMessage="1">
          <x14:formula1>
            <xm:f>IF($U$20="IE4",モーター効率!$C$1:$F$1,モーター効率!$C$1:$E$1)</xm:f>
          </x14:formula1>
          <xm:sqref>Y20</xm:sqref>
        </x14:dataValidation>
        <x14:dataValidation type="list" allowBlank="1" showInputMessage="1" showErrorMessage="1">
          <x14:formula1>
            <xm:f>IF($U$18="IE4",モーター効率!$C$1:$F$1,モーター効率!$C$1:$E$1)</xm:f>
          </x14:formula1>
          <xm:sqref>Y18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view="pageBreakPreview" zoomScaleNormal="70" zoomScaleSheetLayoutView="100" workbookViewId="0">
      <selection activeCell="C18" sqref="C18"/>
    </sheetView>
  </sheetViews>
  <sheetFormatPr defaultRowHeight="18" x14ac:dyDescent="0.55000000000000004"/>
  <cols>
    <col min="1" max="1" width="10.5" customWidth="1"/>
    <col min="2" max="2" width="6.58203125" customWidth="1"/>
    <col min="3" max="3" width="10.08203125" customWidth="1"/>
    <col min="4" max="5" width="12.1640625" customWidth="1"/>
    <col min="6" max="11" width="10.08203125" customWidth="1"/>
    <col min="12" max="12" width="15.5" customWidth="1"/>
    <col min="13" max="15" width="10.08203125" customWidth="1"/>
    <col min="16" max="16" width="15.5" customWidth="1"/>
    <col min="17" max="23" width="10.08203125" customWidth="1"/>
    <col min="24" max="24" width="4.4140625" customWidth="1"/>
    <col min="25" max="25" width="7.33203125" customWidth="1"/>
  </cols>
  <sheetData>
    <row r="1" spans="1:24" ht="29" x14ac:dyDescent="0.85">
      <c r="A1" s="1" t="s">
        <v>211</v>
      </c>
      <c r="F1" s="292"/>
      <c r="G1" s="285"/>
      <c r="H1" s="292"/>
      <c r="I1" s="296"/>
      <c r="J1" s="292"/>
      <c r="K1" s="292"/>
      <c r="L1" s="297"/>
      <c r="M1" s="292"/>
    </row>
    <row r="2" spans="1:24" x14ac:dyDescent="0.55000000000000004">
      <c r="A2" t="s">
        <v>212</v>
      </c>
    </row>
    <row r="3" spans="1:24" ht="22.75" customHeight="1" x14ac:dyDescent="0.55000000000000004">
      <c r="D3" s="639" t="s">
        <v>22</v>
      </c>
      <c r="E3" s="640"/>
      <c r="F3" s="256" t="s">
        <v>23</v>
      </c>
      <c r="G3" s="256" t="s">
        <v>24</v>
      </c>
      <c r="H3" s="256" t="s">
        <v>25</v>
      </c>
      <c r="I3" s="256" t="s">
        <v>26</v>
      </c>
      <c r="J3" s="180" t="s">
        <v>27</v>
      </c>
      <c r="L3" s="16"/>
      <c r="M3" s="639" t="s">
        <v>440</v>
      </c>
      <c r="N3" s="726"/>
      <c r="O3" s="726"/>
      <c r="P3" s="726"/>
      <c r="Q3" s="726"/>
      <c r="R3" s="726"/>
      <c r="S3" s="726"/>
      <c r="T3" s="726"/>
      <c r="U3" s="640"/>
      <c r="V3" s="562"/>
    </row>
    <row r="4" spans="1:24" ht="22.75" customHeight="1" x14ac:dyDescent="0.55000000000000004">
      <c r="D4" s="651" t="s">
        <v>28</v>
      </c>
      <c r="E4" s="652"/>
      <c r="F4" s="256" t="s">
        <v>21</v>
      </c>
      <c r="G4" s="125">
        <f>J17</f>
        <v>0</v>
      </c>
      <c r="H4" s="125">
        <f>S17</f>
        <v>0</v>
      </c>
      <c r="I4" s="126">
        <f>G4-H4</f>
        <v>0</v>
      </c>
      <c r="J4" s="17">
        <f>IFERROR(I4/G4,0)</f>
        <v>0</v>
      </c>
      <c r="L4" s="13"/>
      <c r="M4" s="657"/>
      <c r="N4" s="658"/>
      <c r="O4" s="658"/>
      <c r="P4" s="658"/>
      <c r="Q4" s="658"/>
      <c r="R4" s="658"/>
      <c r="S4" s="658"/>
      <c r="T4" s="658"/>
      <c r="U4" s="659"/>
      <c r="V4" s="563"/>
    </row>
    <row r="5" spans="1:24" ht="22.75" customHeight="1" x14ac:dyDescent="0.55000000000000004">
      <c r="D5" s="651" t="s">
        <v>4</v>
      </c>
      <c r="E5" s="652"/>
      <c r="F5" s="181" t="s">
        <v>9</v>
      </c>
      <c r="G5" s="124">
        <f>K17</f>
        <v>0</v>
      </c>
      <c r="H5" s="124">
        <f>T17</f>
        <v>0</v>
      </c>
      <c r="I5" s="334">
        <f>G5-H5</f>
        <v>0</v>
      </c>
      <c r="J5" s="17">
        <f>IFERROR(I5/G5,0)</f>
        <v>0</v>
      </c>
      <c r="L5" s="13"/>
      <c r="M5" s="232"/>
      <c r="N5" s="232"/>
      <c r="O5" s="232"/>
      <c r="P5" s="232"/>
      <c r="Q5" s="232"/>
      <c r="R5" s="232"/>
      <c r="S5" s="232"/>
      <c r="T5" s="232"/>
      <c r="U5" s="232"/>
      <c r="V5" s="232"/>
    </row>
    <row r="6" spans="1:24" ht="22.75" customHeight="1" x14ac:dyDescent="0.55000000000000004">
      <c r="D6" s="639" t="s">
        <v>29</v>
      </c>
      <c r="E6" s="640"/>
      <c r="F6" s="256" t="s">
        <v>30</v>
      </c>
      <c r="G6" s="293" t="str">
        <f>IF(使用量と光熱費!$I$6=0,"ー",G4*使用量と光熱費!$I$6)</f>
        <v>ー</v>
      </c>
      <c r="H6" s="293" t="str">
        <f>IF(使用量と光熱費!$I$6=0,"ー",H4*使用量と光熱費!$I$6)</f>
        <v>ー</v>
      </c>
      <c r="I6" s="293" t="str">
        <f>IF(OR(G6="ー",H6="ー"),"ー",G6-H6)</f>
        <v>ー</v>
      </c>
      <c r="J6" s="15" t="str">
        <f>IF(OR(G6="ー",I6="ー"),"ー",I6/G6)</f>
        <v>ー</v>
      </c>
      <c r="L6" s="13"/>
      <c r="M6" s="635" t="s">
        <v>445</v>
      </c>
      <c r="N6" s="636"/>
      <c r="O6" s="636"/>
      <c r="P6" s="636"/>
      <c r="Q6" s="636"/>
      <c r="R6" s="636"/>
      <c r="S6" s="636"/>
      <c r="T6" s="636"/>
      <c r="U6" s="637"/>
      <c r="V6" s="232"/>
    </row>
    <row r="7" spans="1:24" ht="28.5" customHeight="1" x14ac:dyDescent="0.55000000000000004">
      <c r="D7" s="723" t="s">
        <v>31</v>
      </c>
      <c r="E7" s="724"/>
      <c r="F7" s="251" t="s">
        <v>32</v>
      </c>
      <c r="G7" s="127">
        <f>G4*係数!$C$30*0.0000258</f>
        <v>0</v>
      </c>
      <c r="H7" s="127">
        <f>H4*係数!$C$30*0.0000258</f>
        <v>0</v>
      </c>
      <c r="I7" s="166">
        <f>G7-H7</f>
        <v>0</v>
      </c>
      <c r="J7" s="17">
        <f>IFERROR(I7/G7,0)</f>
        <v>0</v>
      </c>
      <c r="L7" s="13"/>
      <c r="M7" s="456" t="str">
        <f>IF(OR(D17=0,M17=0),"",IF(D17=M17,"なし",IF(D17&gt;M17,"減少","増加")))</f>
        <v/>
      </c>
      <c r="N7" s="727" t="str">
        <f>IF(OR(M7="",M7="なし"),"ー",IF(M7="減少","減少する理由を特記事項欄に記載してください。","やむを得ず増加する場合は特記事項欄に理由を記載してください。(要根拠資料提出)"))</f>
        <v>ー</v>
      </c>
      <c r="O7" s="728"/>
      <c r="P7" s="728"/>
      <c r="Q7" s="728"/>
      <c r="R7" s="728"/>
      <c r="S7" s="728"/>
      <c r="T7" s="728"/>
      <c r="U7" s="729"/>
      <c r="V7" s="562"/>
    </row>
    <row r="8" spans="1:24" ht="18.649999999999999" customHeight="1" x14ac:dyDescent="0.55000000000000004">
      <c r="M8" s="78"/>
      <c r="N8" s="78"/>
      <c r="O8" s="78"/>
      <c r="Q8" s="78"/>
      <c r="R8" s="78"/>
      <c r="S8" s="78"/>
      <c r="V8" s="498"/>
    </row>
    <row r="9" spans="1:24" ht="18.649999999999999" customHeight="1" x14ac:dyDescent="0.55000000000000004">
      <c r="M9" s="78"/>
      <c r="N9" s="78"/>
      <c r="O9" s="78"/>
      <c r="Q9" s="78"/>
      <c r="R9" s="78"/>
      <c r="S9" s="78"/>
    </row>
    <row r="10" spans="1:24" ht="17.399999999999999" customHeight="1" x14ac:dyDescent="0.55000000000000004">
      <c r="L10" s="78"/>
      <c r="M10" s="78"/>
    </row>
    <row r="11" spans="1:24" x14ac:dyDescent="0.55000000000000004">
      <c r="B11" s="75"/>
      <c r="L11" s="78"/>
      <c r="M11" s="78"/>
    </row>
    <row r="12" spans="1:24" x14ac:dyDescent="0.55000000000000004">
      <c r="A12" t="s">
        <v>33</v>
      </c>
      <c r="L12" s="76"/>
    </row>
    <row r="13" spans="1:24" x14ac:dyDescent="0.55000000000000004">
      <c r="B13" s="638" t="s">
        <v>22</v>
      </c>
      <c r="C13" s="224" t="s">
        <v>24</v>
      </c>
      <c r="D13" s="219"/>
      <c r="E13" s="219"/>
      <c r="F13" s="219"/>
      <c r="G13" s="219"/>
      <c r="H13" s="219"/>
      <c r="I13" s="219"/>
      <c r="J13" s="219"/>
      <c r="K13" s="327"/>
      <c r="L13" s="224" t="s">
        <v>25</v>
      </c>
      <c r="M13" s="219"/>
      <c r="N13" s="219"/>
      <c r="O13" s="219"/>
      <c r="P13" s="219"/>
      <c r="Q13" s="219"/>
      <c r="R13" s="219"/>
      <c r="S13" s="219"/>
      <c r="T13" s="327"/>
      <c r="U13" s="168" t="s">
        <v>34</v>
      </c>
      <c r="V13" s="168"/>
      <c r="W13" s="168"/>
      <c r="X13" s="725"/>
    </row>
    <row r="14" spans="1:24" ht="33" x14ac:dyDescent="0.55000000000000004">
      <c r="B14" s="632"/>
      <c r="C14" s="478" t="s">
        <v>35</v>
      </c>
      <c r="D14" s="478" t="s">
        <v>213</v>
      </c>
      <c r="E14" s="478" t="s">
        <v>214</v>
      </c>
      <c r="F14" s="478" t="s">
        <v>215</v>
      </c>
      <c r="G14" s="478" t="s">
        <v>216</v>
      </c>
      <c r="H14" s="478" t="s">
        <v>217</v>
      </c>
      <c r="I14" s="478" t="s">
        <v>902</v>
      </c>
      <c r="J14" s="478" t="s">
        <v>38</v>
      </c>
      <c r="K14" s="478" t="s">
        <v>39</v>
      </c>
      <c r="L14" s="478" t="s">
        <v>35</v>
      </c>
      <c r="M14" s="478" t="s">
        <v>213</v>
      </c>
      <c r="N14" s="478" t="s">
        <v>214</v>
      </c>
      <c r="O14" s="478" t="s">
        <v>215</v>
      </c>
      <c r="P14" s="478" t="s">
        <v>216</v>
      </c>
      <c r="Q14" s="478" t="s">
        <v>217</v>
      </c>
      <c r="R14" s="478" t="s">
        <v>902</v>
      </c>
      <c r="S14" s="478" t="s">
        <v>38</v>
      </c>
      <c r="T14" s="478" t="s">
        <v>44</v>
      </c>
      <c r="U14" s="479" t="s">
        <v>45</v>
      </c>
      <c r="V14" s="475" t="s">
        <v>1035</v>
      </c>
      <c r="W14" s="479" t="s">
        <v>46</v>
      </c>
      <c r="X14" s="725"/>
    </row>
    <row r="15" spans="1:24" ht="21.65" customHeight="1" x14ac:dyDescent="0.55000000000000004">
      <c r="B15" s="167" t="s">
        <v>23</v>
      </c>
      <c r="C15" s="571"/>
      <c r="D15" s="167" t="s">
        <v>219</v>
      </c>
      <c r="E15" s="571"/>
      <c r="F15" s="257" t="s">
        <v>220</v>
      </c>
      <c r="G15" s="257" t="s">
        <v>220</v>
      </c>
      <c r="H15" s="257" t="s">
        <v>20</v>
      </c>
      <c r="I15" s="257" t="s">
        <v>51</v>
      </c>
      <c r="J15" s="257" t="s">
        <v>21</v>
      </c>
      <c r="K15" s="170" t="s">
        <v>9</v>
      </c>
      <c r="L15" s="572"/>
      <c r="M15" s="167" t="s">
        <v>219</v>
      </c>
      <c r="N15" s="571"/>
      <c r="O15" s="257" t="s">
        <v>220</v>
      </c>
      <c r="P15" s="257" t="s">
        <v>220</v>
      </c>
      <c r="Q15" s="257" t="s">
        <v>20</v>
      </c>
      <c r="R15" s="257" t="s">
        <v>51</v>
      </c>
      <c r="S15" s="257" t="s">
        <v>21</v>
      </c>
      <c r="T15" s="170" t="s">
        <v>9</v>
      </c>
      <c r="U15" s="257" t="s">
        <v>21</v>
      </c>
      <c r="V15" s="527" t="s">
        <v>928</v>
      </c>
      <c r="W15" s="170" t="s">
        <v>9</v>
      </c>
      <c r="X15" s="725"/>
    </row>
    <row r="16" spans="1:24" s="136" customFormat="1" ht="36" x14ac:dyDescent="0.55000000000000004">
      <c r="B16" s="247" t="s">
        <v>266</v>
      </c>
      <c r="C16" s="248" t="s">
        <v>491</v>
      </c>
      <c r="D16" s="248">
        <v>500</v>
      </c>
      <c r="E16" s="248" t="s">
        <v>267</v>
      </c>
      <c r="F16" s="248">
        <v>379</v>
      </c>
      <c r="G16" s="248">
        <v>1901</v>
      </c>
      <c r="H16" s="434">
        <f>IF(D16&lt;=500,0.4,0.5)</f>
        <v>0.4</v>
      </c>
      <c r="I16" s="248">
        <f>24*365</f>
        <v>8760</v>
      </c>
      <c r="J16" s="249">
        <f>(F16+G16*H16^2)*I16/1000</f>
        <v>5984.481600000001</v>
      </c>
      <c r="K16" s="174">
        <f>J16*係数!$H$30</f>
        <v>2.7349080912000003</v>
      </c>
      <c r="L16" s="248" t="s">
        <v>493</v>
      </c>
      <c r="M16" s="248">
        <v>100</v>
      </c>
      <c r="N16" s="248" t="s">
        <v>267</v>
      </c>
      <c r="O16" s="248">
        <v>150</v>
      </c>
      <c r="P16" s="248">
        <v>1380</v>
      </c>
      <c r="Q16" s="434">
        <f>IF(M16="","",IF(M16&lt;=500,0.4,0.5))</f>
        <v>0.4</v>
      </c>
      <c r="R16" s="435">
        <f>IF(I16="","",I16)</f>
        <v>8760</v>
      </c>
      <c r="S16" s="436">
        <f>IFERROR((O16+P16*Q16^2)*R16/1000,0)</f>
        <v>3248.2080000000005</v>
      </c>
      <c r="T16" s="192">
        <f>S16*係数!$H$30</f>
        <v>1.4844310560000002</v>
      </c>
      <c r="U16" s="437">
        <f>J16-S16</f>
        <v>2736.2736000000004</v>
      </c>
      <c r="V16" s="358">
        <f>U16*係数!$C$30*0.0000258</f>
        <v>0.70384071303360018</v>
      </c>
      <c r="W16" s="358">
        <f>K16-T16</f>
        <v>1.2504770352000001</v>
      </c>
      <c r="X16" s="511"/>
    </row>
    <row r="17" spans="2:24" x14ac:dyDescent="0.55000000000000004">
      <c r="B17" s="444" t="s">
        <v>18</v>
      </c>
      <c r="C17" s="104"/>
      <c r="D17" s="23">
        <f>SUM(D18:D67)</f>
        <v>0</v>
      </c>
      <c r="E17" s="108"/>
      <c r="F17" s="162">
        <f>SUM(F18:F67)</f>
        <v>0</v>
      </c>
      <c r="G17" s="23">
        <f>SUM(G18:G67)</f>
        <v>0</v>
      </c>
      <c r="H17" s="429"/>
      <c r="I17" s="105"/>
      <c r="J17" s="90">
        <f>SUM(J18:J67)</f>
        <v>0</v>
      </c>
      <c r="K17" s="88">
        <f>SUM(K18:K67)</f>
        <v>0</v>
      </c>
      <c r="L17" s="108"/>
      <c r="M17" s="23">
        <f>SUM(M18:M67)</f>
        <v>0</v>
      </c>
      <c r="N17" s="108"/>
      <c r="O17" s="162">
        <f>SUM(O18:O67)</f>
        <v>0</v>
      </c>
      <c r="P17" s="23">
        <f>SUM(P18:P67)</f>
        <v>0</v>
      </c>
      <c r="Q17" s="429"/>
      <c r="R17" s="429"/>
      <c r="S17" s="40">
        <f>SUM(S18:S67)</f>
        <v>0</v>
      </c>
      <c r="T17" s="98">
        <f>SUM(T18:T67)</f>
        <v>0</v>
      </c>
      <c r="U17" s="438">
        <f>SUM(U18:U67)</f>
        <v>0</v>
      </c>
      <c r="V17" s="328">
        <f>SUM(V18:V67)</f>
        <v>0</v>
      </c>
      <c r="W17" s="328">
        <f>SUM(W18:W67)</f>
        <v>0</v>
      </c>
      <c r="X17" s="512"/>
    </row>
    <row r="18" spans="2:24" x14ac:dyDescent="0.55000000000000004">
      <c r="B18" s="194" t="s">
        <v>52</v>
      </c>
      <c r="C18" s="25"/>
      <c r="D18" s="25"/>
      <c r="E18" s="25"/>
      <c r="F18" s="6"/>
      <c r="G18" s="6"/>
      <c r="H18" s="427">
        <f>IF(D18&lt;=500,0.4,0.5)</f>
        <v>0.4</v>
      </c>
      <c r="I18" s="6"/>
      <c r="J18" s="91">
        <f>(F18+G18*H18^2)*I18/1000</f>
        <v>0</v>
      </c>
      <c r="K18" s="89">
        <f>J18*係数!$H$30</f>
        <v>0</v>
      </c>
      <c r="L18" s="25"/>
      <c r="M18" s="25"/>
      <c r="N18" s="25"/>
      <c r="O18" s="6"/>
      <c r="P18" s="6"/>
      <c r="Q18" s="427" t="str">
        <f>IF(M18="","",IF(M18&lt;=500,0.4,0.5))</f>
        <v/>
      </c>
      <c r="R18" s="36" t="str">
        <f>IF(I18="","",I18)</f>
        <v/>
      </c>
      <c r="S18" s="41">
        <f>IFERROR((O18+P18*Q18^2)*R18/1000,0)</f>
        <v>0</v>
      </c>
      <c r="T18" s="93">
        <f>S18*係数!$H$30</f>
        <v>0</v>
      </c>
      <c r="U18" s="439">
        <f>J18-S18</f>
        <v>0</v>
      </c>
      <c r="V18" s="549">
        <f>U18*係数!$C$30*0.0000258</f>
        <v>0</v>
      </c>
      <c r="W18" s="549">
        <f t="shared" ref="W18:W49" si="0">K18-T18</f>
        <v>0</v>
      </c>
      <c r="X18" s="513"/>
    </row>
    <row r="19" spans="2:24" x14ac:dyDescent="0.55000000000000004">
      <c r="B19" s="194" t="s">
        <v>53</v>
      </c>
      <c r="C19" s="25"/>
      <c r="D19" s="25"/>
      <c r="E19" s="25"/>
      <c r="F19" s="6"/>
      <c r="G19" s="6"/>
      <c r="H19" s="427">
        <f>IF(D19&lt;=500,0.4,0.5)</f>
        <v>0.4</v>
      </c>
      <c r="I19" s="6"/>
      <c r="J19" s="91">
        <f t="shared" ref="J19:J67" si="1">(F19+G19*H19^2)*I19/1000</f>
        <v>0</v>
      </c>
      <c r="K19" s="89">
        <f>J19*係数!$H$30</f>
        <v>0</v>
      </c>
      <c r="L19" s="25"/>
      <c r="M19" s="25"/>
      <c r="N19" s="25"/>
      <c r="O19" s="6"/>
      <c r="P19" s="6"/>
      <c r="Q19" s="427" t="str">
        <f t="shared" ref="Q19:Q67" si="2">IF(M19="","",IF(M19&lt;=500,0.4,0.5))</f>
        <v/>
      </c>
      <c r="R19" s="36" t="str">
        <f t="shared" ref="R19:R67" si="3">IF(I19="","",I19)</f>
        <v/>
      </c>
      <c r="S19" s="41">
        <f t="shared" ref="S19:S67" si="4">IFERROR((O19+P19*Q19^2)*R19/1000,0)</f>
        <v>0</v>
      </c>
      <c r="T19" s="93">
        <f>S19*係数!$H$30</f>
        <v>0</v>
      </c>
      <c r="U19" s="439">
        <f t="shared" ref="U19:U49" si="5">J19-S19</f>
        <v>0</v>
      </c>
      <c r="V19" s="549">
        <f>U19*係数!$C$30*0.0000258</f>
        <v>0</v>
      </c>
      <c r="W19" s="549">
        <f t="shared" si="0"/>
        <v>0</v>
      </c>
      <c r="X19" s="513"/>
    </row>
    <row r="20" spans="2:24" x14ac:dyDescent="0.55000000000000004">
      <c r="B20" s="194" t="s">
        <v>54</v>
      </c>
      <c r="C20" s="25"/>
      <c r="D20" s="25"/>
      <c r="E20" s="25"/>
      <c r="F20" s="6"/>
      <c r="G20" s="6"/>
      <c r="H20" s="427">
        <f>IF(D20&lt;=500,0.4,0.5)</f>
        <v>0.4</v>
      </c>
      <c r="I20" s="6"/>
      <c r="J20" s="3">
        <f t="shared" si="1"/>
        <v>0</v>
      </c>
      <c r="K20" s="3">
        <f>J20*係数!$H$30</f>
        <v>0</v>
      </c>
      <c r="L20" s="25"/>
      <c r="M20" s="25"/>
      <c r="N20" s="25"/>
      <c r="O20" s="6"/>
      <c r="P20" s="6"/>
      <c r="Q20" s="427" t="str">
        <f t="shared" si="2"/>
        <v/>
      </c>
      <c r="R20" s="36" t="str">
        <f t="shared" si="3"/>
        <v/>
      </c>
      <c r="S20" s="24">
        <f t="shared" si="4"/>
        <v>0</v>
      </c>
      <c r="T20" s="24">
        <f>S20*係数!$H$30</f>
        <v>0</v>
      </c>
      <c r="U20" s="439">
        <f t="shared" si="5"/>
        <v>0</v>
      </c>
      <c r="V20" s="549">
        <f>U20*係数!$C$30*0.0000258</f>
        <v>0</v>
      </c>
      <c r="W20" s="549">
        <f t="shared" si="0"/>
        <v>0</v>
      </c>
      <c r="X20" s="513"/>
    </row>
    <row r="21" spans="2:24" x14ac:dyDescent="0.55000000000000004">
      <c r="B21" s="194" t="s">
        <v>55</v>
      </c>
      <c r="C21" s="25"/>
      <c r="D21" s="25"/>
      <c r="E21" s="25"/>
      <c r="F21" s="6"/>
      <c r="G21" s="6"/>
      <c r="H21" s="427">
        <f t="shared" ref="H21:H67" si="6">IF(D21&lt;=500,0.4,0.5)</f>
        <v>0.4</v>
      </c>
      <c r="I21" s="6"/>
      <c r="J21" s="3">
        <f t="shared" si="1"/>
        <v>0</v>
      </c>
      <c r="K21" s="3">
        <f>J21*係数!$H$30</f>
        <v>0</v>
      </c>
      <c r="L21" s="25"/>
      <c r="M21" s="25"/>
      <c r="N21" s="25"/>
      <c r="O21" s="6"/>
      <c r="P21" s="6"/>
      <c r="Q21" s="427" t="str">
        <f t="shared" si="2"/>
        <v/>
      </c>
      <c r="R21" s="36" t="str">
        <f t="shared" si="3"/>
        <v/>
      </c>
      <c r="S21" s="24">
        <f t="shared" si="4"/>
        <v>0</v>
      </c>
      <c r="T21" s="24">
        <f>S21*係数!$H$30</f>
        <v>0</v>
      </c>
      <c r="U21" s="439">
        <f t="shared" si="5"/>
        <v>0</v>
      </c>
      <c r="V21" s="549">
        <f>U21*係数!$C$30*0.0000258</f>
        <v>0</v>
      </c>
      <c r="W21" s="549">
        <f t="shared" si="0"/>
        <v>0</v>
      </c>
      <c r="X21" s="513"/>
    </row>
    <row r="22" spans="2:24" x14ac:dyDescent="0.55000000000000004">
      <c r="B22" s="194" t="s">
        <v>56</v>
      </c>
      <c r="C22" s="25"/>
      <c r="D22" s="25"/>
      <c r="E22" s="25"/>
      <c r="F22" s="6"/>
      <c r="G22" s="6"/>
      <c r="H22" s="427">
        <f t="shared" si="6"/>
        <v>0.4</v>
      </c>
      <c r="I22" s="6"/>
      <c r="J22" s="3">
        <f t="shared" si="1"/>
        <v>0</v>
      </c>
      <c r="K22" s="3">
        <f>J22*係数!$H$30</f>
        <v>0</v>
      </c>
      <c r="L22" s="25"/>
      <c r="M22" s="25"/>
      <c r="N22" s="25"/>
      <c r="O22" s="6"/>
      <c r="P22" s="6"/>
      <c r="Q22" s="427" t="str">
        <f t="shared" si="2"/>
        <v/>
      </c>
      <c r="R22" s="36" t="str">
        <f t="shared" si="3"/>
        <v/>
      </c>
      <c r="S22" s="24">
        <f t="shared" si="4"/>
        <v>0</v>
      </c>
      <c r="T22" s="24">
        <f>S22*係数!$H$30</f>
        <v>0</v>
      </c>
      <c r="U22" s="439">
        <f t="shared" si="5"/>
        <v>0</v>
      </c>
      <c r="V22" s="549">
        <f>U22*係数!$C$30*0.0000258</f>
        <v>0</v>
      </c>
      <c r="W22" s="549">
        <f t="shared" si="0"/>
        <v>0</v>
      </c>
      <c r="X22" s="513"/>
    </row>
    <row r="23" spans="2:24" x14ac:dyDescent="0.55000000000000004">
      <c r="B23" s="194" t="s">
        <v>57</v>
      </c>
      <c r="C23" s="25"/>
      <c r="D23" s="25"/>
      <c r="E23" s="25"/>
      <c r="F23" s="6"/>
      <c r="G23" s="6"/>
      <c r="H23" s="427">
        <f t="shared" si="6"/>
        <v>0.4</v>
      </c>
      <c r="I23" s="6"/>
      <c r="J23" s="3">
        <f t="shared" si="1"/>
        <v>0</v>
      </c>
      <c r="K23" s="3">
        <f>J23*係数!$H$30</f>
        <v>0</v>
      </c>
      <c r="L23" s="25"/>
      <c r="M23" s="25"/>
      <c r="N23" s="25"/>
      <c r="O23" s="6"/>
      <c r="P23" s="6"/>
      <c r="Q23" s="427" t="str">
        <f t="shared" si="2"/>
        <v/>
      </c>
      <c r="R23" s="36" t="str">
        <f t="shared" si="3"/>
        <v/>
      </c>
      <c r="S23" s="24">
        <f t="shared" si="4"/>
        <v>0</v>
      </c>
      <c r="T23" s="24">
        <f>S23*係数!$H$30</f>
        <v>0</v>
      </c>
      <c r="U23" s="439">
        <f t="shared" si="5"/>
        <v>0</v>
      </c>
      <c r="V23" s="549">
        <f>U23*係数!$C$30*0.0000258</f>
        <v>0</v>
      </c>
      <c r="W23" s="549">
        <f t="shared" si="0"/>
        <v>0</v>
      </c>
      <c r="X23" s="513"/>
    </row>
    <row r="24" spans="2:24" x14ac:dyDescent="0.55000000000000004">
      <c r="B24" s="194" t="s">
        <v>58</v>
      </c>
      <c r="C24" s="25"/>
      <c r="D24" s="25"/>
      <c r="E24" s="25"/>
      <c r="F24" s="6"/>
      <c r="G24" s="6"/>
      <c r="H24" s="427">
        <f t="shared" si="6"/>
        <v>0.4</v>
      </c>
      <c r="I24" s="6"/>
      <c r="J24" s="3">
        <f t="shared" si="1"/>
        <v>0</v>
      </c>
      <c r="K24" s="3">
        <f>J24*係数!$H$30</f>
        <v>0</v>
      </c>
      <c r="L24" s="25"/>
      <c r="M24" s="25"/>
      <c r="N24" s="25"/>
      <c r="O24" s="6"/>
      <c r="P24" s="6"/>
      <c r="Q24" s="427" t="str">
        <f t="shared" si="2"/>
        <v/>
      </c>
      <c r="R24" s="36" t="str">
        <f t="shared" si="3"/>
        <v/>
      </c>
      <c r="S24" s="24">
        <f t="shared" si="4"/>
        <v>0</v>
      </c>
      <c r="T24" s="24">
        <f>S24*係数!$H$30</f>
        <v>0</v>
      </c>
      <c r="U24" s="439">
        <f t="shared" si="5"/>
        <v>0</v>
      </c>
      <c r="V24" s="549">
        <f>U24*係数!$C$30*0.0000258</f>
        <v>0</v>
      </c>
      <c r="W24" s="549">
        <f t="shared" si="0"/>
        <v>0</v>
      </c>
      <c r="X24" s="513"/>
    </row>
    <row r="25" spans="2:24" x14ac:dyDescent="0.55000000000000004">
      <c r="B25" s="194" t="s">
        <v>59</v>
      </c>
      <c r="C25" s="25"/>
      <c r="D25" s="25"/>
      <c r="E25" s="25"/>
      <c r="F25" s="6"/>
      <c r="G25" s="6"/>
      <c r="H25" s="427">
        <f t="shared" si="6"/>
        <v>0.4</v>
      </c>
      <c r="I25" s="6"/>
      <c r="J25" s="3">
        <f t="shared" si="1"/>
        <v>0</v>
      </c>
      <c r="K25" s="3">
        <f>J25*係数!$H$30</f>
        <v>0</v>
      </c>
      <c r="L25" s="25"/>
      <c r="M25" s="25"/>
      <c r="N25" s="25"/>
      <c r="O25" s="6"/>
      <c r="P25" s="6"/>
      <c r="Q25" s="427" t="str">
        <f t="shared" si="2"/>
        <v/>
      </c>
      <c r="R25" s="36" t="str">
        <f t="shared" si="3"/>
        <v/>
      </c>
      <c r="S25" s="24">
        <f t="shared" si="4"/>
        <v>0</v>
      </c>
      <c r="T25" s="24">
        <f>S25*係数!$H$30</f>
        <v>0</v>
      </c>
      <c r="U25" s="439">
        <f t="shared" si="5"/>
        <v>0</v>
      </c>
      <c r="V25" s="549">
        <f>U25*係数!$C$30*0.0000258</f>
        <v>0</v>
      </c>
      <c r="W25" s="549">
        <f t="shared" si="0"/>
        <v>0</v>
      </c>
      <c r="X25" s="513"/>
    </row>
    <row r="26" spans="2:24" x14ac:dyDescent="0.55000000000000004">
      <c r="B26" s="194" t="s">
        <v>60</v>
      </c>
      <c r="C26" s="25"/>
      <c r="D26" s="25"/>
      <c r="E26" s="25"/>
      <c r="F26" s="6"/>
      <c r="G26" s="6"/>
      <c r="H26" s="427">
        <f t="shared" si="6"/>
        <v>0.4</v>
      </c>
      <c r="I26" s="6"/>
      <c r="J26" s="3">
        <f t="shared" si="1"/>
        <v>0</v>
      </c>
      <c r="K26" s="3">
        <f>J26*係数!$H$30</f>
        <v>0</v>
      </c>
      <c r="L26" s="25"/>
      <c r="M26" s="25"/>
      <c r="N26" s="25"/>
      <c r="O26" s="6"/>
      <c r="P26" s="6"/>
      <c r="Q26" s="427" t="str">
        <f t="shared" si="2"/>
        <v/>
      </c>
      <c r="R26" s="36" t="str">
        <f t="shared" si="3"/>
        <v/>
      </c>
      <c r="S26" s="24">
        <f t="shared" si="4"/>
        <v>0</v>
      </c>
      <c r="T26" s="24">
        <f>S26*係数!$H$30</f>
        <v>0</v>
      </c>
      <c r="U26" s="439">
        <f t="shared" si="5"/>
        <v>0</v>
      </c>
      <c r="V26" s="549">
        <f>U26*係数!$C$30*0.0000258</f>
        <v>0</v>
      </c>
      <c r="W26" s="549">
        <f t="shared" si="0"/>
        <v>0</v>
      </c>
      <c r="X26" s="513"/>
    </row>
    <row r="27" spans="2:24" x14ac:dyDescent="0.55000000000000004">
      <c r="B27" s="194" t="s">
        <v>61</v>
      </c>
      <c r="C27" s="25"/>
      <c r="D27" s="25"/>
      <c r="E27" s="25"/>
      <c r="F27" s="6"/>
      <c r="G27" s="6"/>
      <c r="H27" s="427">
        <f t="shared" si="6"/>
        <v>0.4</v>
      </c>
      <c r="I27" s="6"/>
      <c r="J27" s="3">
        <f t="shared" si="1"/>
        <v>0</v>
      </c>
      <c r="K27" s="3">
        <f>J27*係数!$H$30</f>
        <v>0</v>
      </c>
      <c r="L27" s="25"/>
      <c r="M27" s="25"/>
      <c r="N27" s="25"/>
      <c r="O27" s="6"/>
      <c r="P27" s="6"/>
      <c r="Q27" s="427" t="str">
        <f t="shared" si="2"/>
        <v/>
      </c>
      <c r="R27" s="36" t="str">
        <f t="shared" si="3"/>
        <v/>
      </c>
      <c r="S27" s="24">
        <f t="shared" si="4"/>
        <v>0</v>
      </c>
      <c r="T27" s="24">
        <f>S27*係数!$H$30</f>
        <v>0</v>
      </c>
      <c r="U27" s="439">
        <f t="shared" si="5"/>
        <v>0</v>
      </c>
      <c r="V27" s="549">
        <f>U27*係数!$C$30*0.0000258</f>
        <v>0</v>
      </c>
      <c r="W27" s="549">
        <f t="shared" si="0"/>
        <v>0</v>
      </c>
      <c r="X27" s="513"/>
    </row>
    <row r="28" spans="2:24" x14ac:dyDescent="0.55000000000000004">
      <c r="B28" s="194" t="s">
        <v>62</v>
      </c>
      <c r="C28" s="25"/>
      <c r="D28" s="25"/>
      <c r="E28" s="25"/>
      <c r="F28" s="6"/>
      <c r="G28" s="6"/>
      <c r="H28" s="427">
        <f t="shared" si="6"/>
        <v>0.4</v>
      </c>
      <c r="I28" s="6"/>
      <c r="J28" s="3">
        <f t="shared" si="1"/>
        <v>0</v>
      </c>
      <c r="K28" s="3">
        <f>J28*係数!$H$30</f>
        <v>0</v>
      </c>
      <c r="L28" s="25"/>
      <c r="M28" s="25"/>
      <c r="N28" s="25"/>
      <c r="O28" s="6"/>
      <c r="P28" s="6"/>
      <c r="Q28" s="427" t="str">
        <f t="shared" si="2"/>
        <v/>
      </c>
      <c r="R28" s="36" t="str">
        <f t="shared" si="3"/>
        <v/>
      </c>
      <c r="S28" s="24">
        <f t="shared" si="4"/>
        <v>0</v>
      </c>
      <c r="T28" s="24">
        <f>S28*係数!$H$30</f>
        <v>0</v>
      </c>
      <c r="U28" s="439">
        <f t="shared" si="5"/>
        <v>0</v>
      </c>
      <c r="V28" s="549">
        <f>U28*係数!$C$30*0.0000258</f>
        <v>0</v>
      </c>
      <c r="W28" s="549">
        <f t="shared" si="0"/>
        <v>0</v>
      </c>
      <c r="X28" s="513"/>
    </row>
    <row r="29" spans="2:24" x14ac:dyDescent="0.55000000000000004">
      <c r="B29" s="194" t="s">
        <v>63</v>
      </c>
      <c r="C29" s="25"/>
      <c r="D29" s="25"/>
      <c r="E29" s="25"/>
      <c r="F29" s="6"/>
      <c r="G29" s="6"/>
      <c r="H29" s="427">
        <f t="shared" si="6"/>
        <v>0.4</v>
      </c>
      <c r="I29" s="6"/>
      <c r="J29" s="3">
        <f t="shared" si="1"/>
        <v>0</v>
      </c>
      <c r="K29" s="3">
        <f>J29*係数!$H$30</f>
        <v>0</v>
      </c>
      <c r="L29" s="25"/>
      <c r="M29" s="25"/>
      <c r="N29" s="25"/>
      <c r="O29" s="6"/>
      <c r="P29" s="6"/>
      <c r="Q29" s="427" t="str">
        <f t="shared" si="2"/>
        <v/>
      </c>
      <c r="R29" s="36" t="str">
        <f t="shared" si="3"/>
        <v/>
      </c>
      <c r="S29" s="24">
        <f t="shared" si="4"/>
        <v>0</v>
      </c>
      <c r="T29" s="24">
        <f>S29*係数!$H$30</f>
        <v>0</v>
      </c>
      <c r="U29" s="439">
        <f t="shared" si="5"/>
        <v>0</v>
      </c>
      <c r="V29" s="549">
        <f>U29*係数!$C$30*0.0000258</f>
        <v>0</v>
      </c>
      <c r="W29" s="549">
        <f t="shared" si="0"/>
        <v>0</v>
      </c>
      <c r="X29" s="513"/>
    </row>
    <row r="30" spans="2:24" x14ac:dyDescent="0.55000000000000004">
      <c r="B30" s="194" t="s">
        <v>64</v>
      </c>
      <c r="C30" s="25"/>
      <c r="D30" s="25"/>
      <c r="E30" s="25"/>
      <c r="F30" s="6"/>
      <c r="G30" s="6"/>
      <c r="H30" s="427">
        <f t="shared" si="6"/>
        <v>0.4</v>
      </c>
      <c r="I30" s="6"/>
      <c r="J30" s="3">
        <f t="shared" si="1"/>
        <v>0</v>
      </c>
      <c r="K30" s="3">
        <f>J30*係数!$H$30</f>
        <v>0</v>
      </c>
      <c r="L30" s="25"/>
      <c r="M30" s="25"/>
      <c r="N30" s="25"/>
      <c r="O30" s="6"/>
      <c r="P30" s="6"/>
      <c r="Q30" s="427" t="str">
        <f t="shared" si="2"/>
        <v/>
      </c>
      <c r="R30" s="36" t="str">
        <f t="shared" si="3"/>
        <v/>
      </c>
      <c r="S30" s="24">
        <f t="shared" si="4"/>
        <v>0</v>
      </c>
      <c r="T30" s="24">
        <f>S30*係数!$H$30</f>
        <v>0</v>
      </c>
      <c r="U30" s="439">
        <f t="shared" si="5"/>
        <v>0</v>
      </c>
      <c r="V30" s="549">
        <f>U30*係数!$C$30*0.0000258</f>
        <v>0</v>
      </c>
      <c r="W30" s="549">
        <f t="shared" si="0"/>
        <v>0</v>
      </c>
      <c r="X30" s="513"/>
    </row>
    <row r="31" spans="2:24" x14ac:dyDescent="0.55000000000000004">
      <c r="B31" s="194" t="s">
        <v>65</v>
      </c>
      <c r="C31" s="25"/>
      <c r="D31" s="25"/>
      <c r="E31" s="25"/>
      <c r="F31" s="6"/>
      <c r="G31" s="6"/>
      <c r="H31" s="427">
        <f t="shared" si="6"/>
        <v>0.4</v>
      </c>
      <c r="I31" s="6"/>
      <c r="J31" s="3">
        <f t="shared" si="1"/>
        <v>0</v>
      </c>
      <c r="K31" s="3">
        <f>J31*係数!$H$30</f>
        <v>0</v>
      </c>
      <c r="L31" s="25"/>
      <c r="M31" s="25"/>
      <c r="N31" s="25"/>
      <c r="O31" s="6"/>
      <c r="P31" s="6"/>
      <c r="Q31" s="427" t="str">
        <f t="shared" si="2"/>
        <v/>
      </c>
      <c r="R31" s="36" t="str">
        <f t="shared" si="3"/>
        <v/>
      </c>
      <c r="S31" s="24">
        <f t="shared" si="4"/>
        <v>0</v>
      </c>
      <c r="T31" s="24">
        <f>S31*係数!$H$30</f>
        <v>0</v>
      </c>
      <c r="U31" s="439">
        <f t="shared" si="5"/>
        <v>0</v>
      </c>
      <c r="V31" s="549">
        <f>U31*係数!$C$30*0.0000258</f>
        <v>0</v>
      </c>
      <c r="W31" s="549">
        <f t="shared" si="0"/>
        <v>0</v>
      </c>
      <c r="X31" s="513"/>
    </row>
    <row r="32" spans="2:24" x14ac:dyDescent="0.55000000000000004">
      <c r="B32" s="194" t="s">
        <v>66</v>
      </c>
      <c r="C32" s="25"/>
      <c r="D32" s="25"/>
      <c r="E32" s="25"/>
      <c r="F32" s="6"/>
      <c r="G32" s="6"/>
      <c r="H32" s="427">
        <f t="shared" si="6"/>
        <v>0.4</v>
      </c>
      <c r="I32" s="6"/>
      <c r="J32" s="3">
        <f t="shared" si="1"/>
        <v>0</v>
      </c>
      <c r="K32" s="3">
        <f>J32*係数!$H$30</f>
        <v>0</v>
      </c>
      <c r="L32" s="25"/>
      <c r="M32" s="25"/>
      <c r="N32" s="25"/>
      <c r="O32" s="6"/>
      <c r="P32" s="6"/>
      <c r="Q32" s="427" t="str">
        <f t="shared" si="2"/>
        <v/>
      </c>
      <c r="R32" s="36" t="str">
        <f t="shared" si="3"/>
        <v/>
      </c>
      <c r="S32" s="24">
        <f t="shared" si="4"/>
        <v>0</v>
      </c>
      <c r="T32" s="24">
        <f>S32*係数!$H$30</f>
        <v>0</v>
      </c>
      <c r="U32" s="439">
        <f t="shared" si="5"/>
        <v>0</v>
      </c>
      <c r="V32" s="549">
        <f>U32*係数!$C$30*0.0000258</f>
        <v>0</v>
      </c>
      <c r="W32" s="549">
        <f t="shared" si="0"/>
        <v>0</v>
      </c>
      <c r="X32" s="513"/>
    </row>
    <row r="33" spans="2:24" x14ac:dyDescent="0.55000000000000004">
      <c r="B33" s="194" t="s">
        <v>67</v>
      </c>
      <c r="C33" s="25"/>
      <c r="D33" s="25"/>
      <c r="E33" s="25"/>
      <c r="F33" s="6"/>
      <c r="G33" s="6"/>
      <c r="H33" s="427">
        <f t="shared" si="6"/>
        <v>0.4</v>
      </c>
      <c r="I33" s="6"/>
      <c r="J33" s="3">
        <f t="shared" si="1"/>
        <v>0</v>
      </c>
      <c r="K33" s="3">
        <f>J33*係数!$H$30</f>
        <v>0</v>
      </c>
      <c r="L33" s="25"/>
      <c r="M33" s="25"/>
      <c r="N33" s="25"/>
      <c r="O33" s="6"/>
      <c r="P33" s="6"/>
      <c r="Q33" s="427" t="str">
        <f t="shared" si="2"/>
        <v/>
      </c>
      <c r="R33" s="36" t="str">
        <f t="shared" si="3"/>
        <v/>
      </c>
      <c r="S33" s="24">
        <f t="shared" si="4"/>
        <v>0</v>
      </c>
      <c r="T33" s="24">
        <f>S33*係数!$H$30</f>
        <v>0</v>
      </c>
      <c r="U33" s="439">
        <f t="shared" si="5"/>
        <v>0</v>
      </c>
      <c r="V33" s="549">
        <f>U33*係数!$C$30*0.0000258</f>
        <v>0</v>
      </c>
      <c r="W33" s="549">
        <f t="shared" si="0"/>
        <v>0</v>
      </c>
      <c r="X33" s="513"/>
    </row>
    <row r="34" spans="2:24" x14ac:dyDescent="0.55000000000000004">
      <c r="B34" s="194" t="s">
        <v>68</v>
      </c>
      <c r="C34" s="25"/>
      <c r="D34" s="25"/>
      <c r="E34" s="25"/>
      <c r="F34" s="6"/>
      <c r="G34" s="6"/>
      <c r="H34" s="427">
        <f t="shared" si="6"/>
        <v>0.4</v>
      </c>
      <c r="I34" s="6"/>
      <c r="J34" s="3">
        <f t="shared" si="1"/>
        <v>0</v>
      </c>
      <c r="K34" s="3">
        <f>J34*係数!$H$30</f>
        <v>0</v>
      </c>
      <c r="L34" s="25"/>
      <c r="M34" s="25"/>
      <c r="N34" s="25"/>
      <c r="O34" s="6"/>
      <c r="P34" s="6"/>
      <c r="Q34" s="427" t="str">
        <f t="shared" si="2"/>
        <v/>
      </c>
      <c r="R34" s="36" t="str">
        <f t="shared" si="3"/>
        <v/>
      </c>
      <c r="S34" s="24">
        <f t="shared" si="4"/>
        <v>0</v>
      </c>
      <c r="T34" s="24">
        <f>S34*係数!$H$30</f>
        <v>0</v>
      </c>
      <c r="U34" s="439">
        <f t="shared" si="5"/>
        <v>0</v>
      </c>
      <c r="V34" s="549">
        <f>U34*係数!$C$30*0.0000258</f>
        <v>0</v>
      </c>
      <c r="W34" s="549">
        <f t="shared" si="0"/>
        <v>0</v>
      </c>
      <c r="X34" s="513"/>
    </row>
    <row r="35" spans="2:24" x14ac:dyDescent="0.55000000000000004">
      <c r="B35" s="194" t="s">
        <v>69</v>
      </c>
      <c r="C35" s="25"/>
      <c r="D35" s="25"/>
      <c r="E35" s="25"/>
      <c r="F35" s="6"/>
      <c r="G35" s="6"/>
      <c r="H35" s="427">
        <f t="shared" si="6"/>
        <v>0.4</v>
      </c>
      <c r="I35" s="6"/>
      <c r="J35" s="3">
        <f t="shared" si="1"/>
        <v>0</v>
      </c>
      <c r="K35" s="3">
        <f>J35*係数!$H$30</f>
        <v>0</v>
      </c>
      <c r="L35" s="25"/>
      <c r="M35" s="25"/>
      <c r="N35" s="25"/>
      <c r="O35" s="6"/>
      <c r="P35" s="6"/>
      <c r="Q35" s="427" t="str">
        <f t="shared" si="2"/>
        <v/>
      </c>
      <c r="R35" s="36" t="str">
        <f t="shared" si="3"/>
        <v/>
      </c>
      <c r="S35" s="24">
        <f t="shared" si="4"/>
        <v>0</v>
      </c>
      <c r="T35" s="24">
        <f>S35*係数!$H$30</f>
        <v>0</v>
      </c>
      <c r="U35" s="439">
        <f t="shared" si="5"/>
        <v>0</v>
      </c>
      <c r="V35" s="549">
        <f>U35*係数!$C$30*0.0000258</f>
        <v>0</v>
      </c>
      <c r="W35" s="549">
        <f t="shared" si="0"/>
        <v>0</v>
      </c>
      <c r="X35" s="513"/>
    </row>
    <row r="36" spans="2:24" x14ac:dyDescent="0.55000000000000004">
      <c r="B36" s="194" t="s">
        <v>70</v>
      </c>
      <c r="C36" s="25"/>
      <c r="D36" s="25"/>
      <c r="E36" s="25"/>
      <c r="F36" s="6"/>
      <c r="G36" s="6"/>
      <c r="H36" s="427">
        <f t="shared" si="6"/>
        <v>0.4</v>
      </c>
      <c r="I36" s="6"/>
      <c r="J36" s="3">
        <f t="shared" si="1"/>
        <v>0</v>
      </c>
      <c r="K36" s="3">
        <f>J36*係数!$H$30</f>
        <v>0</v>
      </c>
      <c r="L36" s="25"/>
      <c r="M36" s="25"/>
      <c r="N36" s="25"/>
      <c r="O36" s="6"/>
      <c r="P36" s="6"/>
      <c r="Q36" s="427" t="str">
        <f t="shared" si="2"/>
        <v/>
      </c>
      <c r="R36" s="36" t="str">
        <f t="shared" si="3"/>
        <v/>
      </c>
      <c r="S36" s="24">
        <f t="shared" si="4"/>
        <v>0</v>
      </c>
      <c r="T36" s="24">
        <f>S36*係数!$H$30</f>
        <v>0</v>
      </c>
      <c r="U36" s="439">
        <f t="shared" si="5"/>
        <v>0</v>
      </c>
      <c r="V36" s="549">
        <f>U36*係数!$C$30*0.0000258</f>
        <v>0</v>
      </c>
      <c r="W36" s="549">
        <f t="shared" si="0"/>
        <v>0</v>
      </c>
      <c r="X36" s="513"/>
    </row>
    <row r="37" spans="2:24" x14ac:dyDescent="0.55000000000000004">
      <c r="B37" s="194" t="s">
        <v>71</v>
      </c>
      <c r="C37" s="25"/>
      <c r="D37" s="25"/>
      <c r="E37" s="25"/>
      <c r="F37" s="6"/>
      <c r="G37" s="6"/>
      <c r="H37" s="427">
        <f t="shared" si="6"/>
        <v>0.4</v>
      </c>
      <c r="I37" s="6"/>
      <c r="J37" s="3">
        <f t="shared" si="1"/>
        <v>0</v>
      </c>
      <c r="K37" s="3">
        <f>J37*係数!$H$30</f>
        <v>0</v>
      </c>
      <c r="L37" s="25"/>
      <c r="M37" s="25"/>
      <c r="N37" s="25"/>
      <c r="O37" s="6"/>
      <c r="P37" s="6"/>
      <c r="Q37" s="427" t="str">
        <f t="shared" si="2"/>
        <v/>
      </c>
      <c r="R37" s="36" t="str">
        <f t="shared" si="3"/>
        <v/>
      </c>
      <c r="S37" s="24">
        <f t="shared" si="4"/>
        <v>0</v>
      </c>
      <c r="T37" s="24">
        <f>S37*係数!$H$30</f>
        <v>0</v>
      </c>
      <c r="U37" s="439">
        <f t="shared" si="5"/>
        <v>0</v>
      </c>
      <c r="V37" s="549">
        <f>U37*係数!$C$30*0.0000258</f>
        <v>0</v>
      </c>
      <c r="W37" s="549">
        <f t="shared" si="0"/>
        <v>0</v>
      </c>
      <c r="X37" s="513"/>
    </row>
    <row r="38" spans="2:24" x14ac:dyDescent="0.55000000000000004">
      <c r="B38" s="194" t="s">
        <v>72</v>
      </c>
      <c r="C38" s="25"/>
      <c r="D38" s="25"/>
      <c r="E38" s="25"/>
      <c r="F38" s="6"/>
      <c r="G38" s="6"/>
      <c r="H38" s="427">
        <f t="shared" si="6"/>
        <v>0.4</v>
      </c>
      <c r="I38" s="6"/>
      <c r="J38" s="3">
        <f t="shared" si="1"/>
        <v>0</v>
      </c>
      <c r="K38" s="3">
        <f>J38*係数!$H$30</f>
        <v>0</v>
      </c>
      <c r="L38" s="25"/>
      <c r="M38" s="25"/>
      <c r="N38" s="25"/>
      <c r="O38" s="6"/>
      <c r="P38" s="6"/>
      <c r="Q38" s="427" t="str">
        <f t="shared" si="2"/>
        <v/>
      </c>
      <c r="R38" s="36" t="str">
        <f t="shared" si="3"/>
        <v/>
      </c>
      <c r="S38" s="24">
        <f t="shared" si="4"/>
        <v>0</v>
      </c>
      <c r="T38" s="24">
        <f>S38*係数!$H$30</f>
        <v>0</v>
      </c>
      <c r="U38" s="439">
        <f t="shared" si="5"/>
        <v>0</v>
      </c>
      <c r="V38" s="549">
        <f>U38*係数!$C$30*0.0000258</f>
        <v>0</v>
      </c>
      <c r="W38" s="549">
        <f t="shared" si="0"/>
        <v>0</v>
      </c>
      <c r="X38" s="513"/>
    </row>
    <row r="39" spans="2:24" x14ac:dyDescent="0.55000000000000004">
      <c r="B39" s="194" t="s">
        <v>73</v>
      </c>
      <c r="C39" s="25"/>
      <c r="D39" s="25"/>
      <c r="E39" s="25"/>
      <c r="F39" s="6"/>
      <c r="G39" s="6"/>
      <c r="H39" s="427">
        <f t="shared" si="6"/>
        <v>0.4</v>
      </c>
      <c r="I39" s="6"/>
      <c r="J39" s="3">
        <f t="shared" si="1"/>
        <v>0</v>
      </c>
      <c r="K39" s="3">
        <f>J39*係数!$H$30</f>
        <v>0</v>
      </c>
      <c r="L39" s="25"/>
      <c r="M39" s="25"/>
      <c r="N39" s="25"/>
      <c r="O39" s="6"/>
      <c r="P39" s="6"/>
      <c r="Q39" s="427" t="str">
        <f t="shared" si="2"/>
        <v/>
      </c>
      <c r="R39" s="36" t="str">
        <f t="shared" si="3"/>
        <v/>
      </c>
      <c r="S39" s="24">
        <f t="shared" si="4"/>
        <v>0</v>
      </c>
      <c r="T39" s="24">
        <f>S39*係数!$H$30</f>
        <v>0</v>
      </c>
      <c r="U39" s="439">
        <f t="shared" si="5"/>
        <v>0</v>
      </c>
      <c r="V39" s="549">
        <f>U39*係数!$C$30*0.0000258</f>
        <v>0</v>
      </c>
      <c r="W39" s="549">
        <f t="shared" si="0"/>
        <v>0</v>
      </c>
      <c r="X39" s="513"/>
    </row>
    <row r="40" spans="2:24" x14ac:dyDescent="0.55000000000000004">
      <c r="B40" s="194" t="s">
        <v>74</v>
      </c>
      <c r="C40" s="25"/>
      <c r="D40" s="25"/>
      <c r="E40" s="25"/>
      <c r="F40" s="6"/>
      <c r="G40" s="6"/>
      <c r="H40" s="427">
        <f t="shared" si="6"/>
        <v>0.4</v>
      </c>
      <c r="I40" s="6"/>
      <c r="J40" s="3">
        <f t="shared" si="1"/>
        <v>0</v>
      </c>
      <c r="K40" s="3">
        <f>J40*係数!$H$30</f>
        <v>0</v>
      </c>
      <c r="L40" s="25"/>
      <c r="M40" s="25"/>
      <c r="N40" s="25"/>
      <c r="O40" s="6"/>
      <c r="P40" s="6"/>
      <c r="Q40" s="427" t="str">
        <f t="shared" si="2"/>
        <v/>
      </c>
      <c r="R40" s="36" t="str">
        <f t="shared" si="3"/>
        <v/>
      </c>
      <c r="S40" s="24">
        <f t="shared" si="4"/>
        <v>0</v>
      </c>
      <c r="T40" s="24">
        <f>S40*係数!$H$30</f>
        <v>0</v>
      </c>
      <c r="U40" s="439">
        <f t="shared" si="5"/>
        <v>0</v>
      </c>
      <c r="V40" s="549">
        <f>U40*係数!$C$30*0.0000258</f>
        <v>0</v>
      </c>
      <c r="W40" s="549">
        <f t="shared" si="0"/>
        <v>0</v>
      </c>
      <c r="X40" s="513"/>
    </row>
    <row r="41" spans="2:24" x14ac:dyDescent="0.55000000000000004">
      <c r="B41" s="194" t="s">
        <v>75</v>
      </c>
      <c r="C41" s="25"/>
      <c r="D41" s="25"/>
      <c r="E41" s="25"/>
      <c r="F41" s="6"/>
      <c r="G41" s="6"/>
      <c r="H41" s="427">
        <f t="shared" si="6"/>
        <v>0.4</v>
      </c>
      <c r="I41" s="6"/>
      <c r="J41" s="3">
        <f t="shared" si="1"/>
        <v>0</v>
      </c>
      <c r="K41" s="3">
        <f>J41*係数!$H$30</f>
        <v>0</v>
      </c>
      <c r="L41" s="25"/>
      <c r="M41" s="25"/>
      <c r="N41" s="25"/>
      <c r="O41" s="6"/>
      <c r="P41" s="6"/>
      <c r="Q41" s="427" t="str">
        <f t="shared" si="2"/>
        <v/>
      </c>
      <c r="R41" s="36" t="str">
        <f t="shared" si="3"/>
        <v/>
      </c>
      <c r="S41" s="24">
        <f t="shared" si="4"/>
        <v>0</v>
      </c>
      <c r="T41" s="24">
        <f>S41*係数!$H$30</f>
        <v>0</v>
      </c>
      <c r="U41" s="439">
        <f t="shared" si="5"/>
        <v>0</v>
      </c>
      <c r="V41" s="549">
        <f>U41*係数!$C$30*0.0000258</f>
        <v>0</v>
      </c>
      <c r="W41" s="549">
        <f t="shared" si="0"/>
        <v>0</v>
      </c>
      <c r="X41" s="513"/>
    </row>
    <row r="42" spans="2:24" x14ac:dyDescent="0.55000000000000004">
      <c r="B42" s="194" t="s">
        <v>76</v>
      </c>
      <c r="C42" s="25"/>
      <c r="D42" s="25"/>
      <c r="E42" s="25"/>
      <c r="F42" s="6"/>
      <c r="G42" s="6"/>
      <c r="H42" s="427">
        <f t="shared" si="6"/>
        <v>0.4</v>
      </c>
      <c r="I42" s="6"/>
      <c r="J42" s="3">
        <f t="shared" si="1"/>
        <v>0</v>
      </c>
      <c r="K42" s="3">
        <f>J42*係数!$H$30</f>
        <v>0</v>
      </c>
      <c r="L42" s="25"/>
      <c r="M42" s="25"/>
      <c r="N42" s="25"/>
      <c r="O42" s="6"/>
      <c r="P42" s="6"/>
      <c r="Q42" s="427" t="str">
        <f t="shared" si="2"/>
        <v/>
      </c>
      <c r="R42" s="36" t="str">
        <f t="shared" si="3"/>
        <v/>
      </c>
      <c r="S42" s="24">
        <f t="shared" si="4"/>
        <v>0</v>
      </c>
      <c r="T42" s="24">
        <f>S42*係数!$H$30</f>
        <v>0</v>
      </c>
      <c r="U42" s="439">
        <f t="shared" si="5"/>
        <v>0</v>
      </c>
      <c r="V42" s="549">
        <f>U42*係数!$C$30*0.0000258</f>
        <v>0</v>
      </c>
      <c r="W42" s="549">
        <f t="shared" si="0"/>
        <v>0</v>
      </c>
      <c r="X42" s="513"/>
    </row>
    <row r="43" spans="2:24" x14ac:dyDescent="0.55000000000000004">
      <c r="B43" s="194" t="s">
        <v>77</v>
      </c>
      <c r="C43" s="25"/>
      <c r="D43" s="25"/>
      <c r="E43" s="25"/>
      <c r="F43" s="6"/>
      <c r="G43" s="6"/>
      <c r="H43" s="427">
        <f t="shared" si="6"/>
        <v>0.4</v>
      </c>
      <c r="I43" s="6"/>
      <c r="J43" s="3">
        <f t="shared" si="1"/>
        <v>0</v>
      </c>
      <c r="K43" s="3">
        <f>J43*係数!$H$30</f>
        <v>0</v>
      </c>
      <c r="L43" s="25"/>
      <c r="M43" s="25"/>
      <c r="N43" s="25"/>
      <c r="O43" s="6"/>
      <c r="P43" s="6"/>
      <c r="Q43" s="427" t="str">
        <f t="shared" si="2"/>
        <v/>
      </c>
      <c r="R43" s="36" t="str">
        <f t="shared" si="3"/>
        <v/>
      </c>
      <c r="S43" s="24">
        <f t="shared" si="4"/>
        <v>0</v>
      </c>
      <c r="T43" s="24">
        <f>S43*係数!$H$30</f>
        <v>0</v>
      </c>
      <c r="U43" s="439">
        <f t="shared" si="5"/>
        <v>0</v>
      </c>
      <c r="V43" s="549">
        <f>U43*係数!$C$30*0.0000258</f>
        <v>0</v>
      </c>
      <c r="W43" s="549">
        <f t="shared" si="0"/>
        <v>0</v>
      </c>
      <c r="X43" s="513"/>
    </row>
    <row r="44" spans="2:24" x14ac:dyDescent="0.55000000000000004">
      <c r="B44" s="194" t="s">
        <v>78</v>
      </c>
      <c r="C44" s="25"/>
      <c r="D44" s="25"/>
      <c r="E44" s="25"/>
      <c r="F44" s="6"/>
      <c r="G44" s="6"/>
      <c r="H44" s="427">
        <f t="shared" si="6"/>
        <v>0.4</v>
      </c>
      <c r="I44" s="6"/>
      <c r="J44" s="3">
        <f t="shared" si="1"/>
        <v>0</v>
      </c>
      <c r="K44" s="3">
        <f>J44*係数!$H$30</f>
        <v>0</v>
      </c>
      <c r="L44" s="25"/>
      <c r="M44" s="25"/>
      <c r="N44" s="25"/>
      <c r="O44" s="6"/>
      <c r="P44" s="6"/>
      <c r="Q44" s="427" t="str">
        <f t="shared" si="2"/>
        <v/>
      </c>
      <c r="R44" s="36" t="str">
        <f t="shared" si="3"/>
        <v/>
      </c>
      <c r="S44" s="24">
        <f t="shared" si="4"/>
        <v>0</v>
      </c>
      <c r="T44" s="24">
        <f>S44*係数!$H$30</f>
        <v>0</v>
      </c>
      <c r="U44" s="439">
        <f t="shared" si="5"/>
        <v>0</v>
      </c>
      <c r="V44" s="549">
        <f>U44*係数!$C$30*0.0000258</f>
        <v>0</v>
      </c>
      <c r="W44" s="549">
        <f t="shared" si="0"/>
        <v>0</v>
      </c>
      <c r="X44" s="513"/>
    </row>
    <row r="45" spans="2:24" x14ac:dyDescent="0.55000000000000004">
      <c r="B45" s="194" t="s">
        <v>79</v>
      </c>
      <c r="C45" s="25"/>
      <c r="D45" s="25"/>
      <c r="E45" s="25"/>
      <c r="F45" s="6"/>
      <c r="G45" s="6"/>
      <c r="H45" s="427">
        <f t="shared" si="6"/>
        <v>0.4</v>
      </c>
      <c r="I45" s="6"/>
      <c r="J45" s="3">
        <f t="shared" si="1"/>
        <v>0</v>
      </c>
      <c r="K45" s="3">
        <f>J45*係数!$H$30</f>
        <v>0</v>
      </c>
      <c r="L45" s="25"/>
      <c r="M45" s="25"/>
      <c r="N45" s="25"/>
      <c r="O45" s="6"/>
      <c r="P45" s="6"/>
      <c r="Q45" s="427" t="str">
        <f t="shared" si="2"/>
        <v/>
      </c>
      <c r="R45" s="36" t="str">
        <f t="shared" si="3"/>
        <v/>
      </c>
      <c r="S45" s="24">
        <f t="shared" si="4"/>
        <v>0</v>
      </c>
      <c r="T45" s="24">
        <f>S45*係数!$H$30</f>
        <v>0</v>
      </c>
      <c r="U45" s="439">
        <f t="shared" si="5"/>
        <v>0</v>
      </c>
      <c r="V45" s="549">
        <f>U45*係数!$C$30*0.0000258</f>
        <v>0</v>
      </c>
      <c r="W45" s="549">
        <f t="shared" si="0"/>
        <v>0</v>
      </c>
      <c r="X45" s="513"/>
    </row>
    <row r="46" spans="2:24" x14ac:dyDescent="0.55000000000000004">
      <c r="B46" s="194" t="s">
        <v>80</v>
      </c>
      <c r="C46" s="25"/>
      <c r="D46" s="25"/>
      <c r="E46" s="25"/>
      <c r="F46" s="6"/>
      <c r="G46" s="6"/>
      <c r="H46" s="427">
        <f t="shared" si="6"/>
        <v>0.4</v>
      </c>
      <c r="I46" s="6"/>
      <c r="J46" s="3">
        <f t="shared" si="1"/>
        <v>0</v>
      </c>
      <c r="K46" s="3">
        <f>J46*係数!$H$30</f>
        <v>0</v>
      </c>
      <c r="L46" s="25"/>
      <c r="M46" s="25"/>
      <c r="N46" s="25"/>
      <c r="O46" s="6"/>
      <c r="P46" s="6"/>
      <c r="Q46" s="427" t="str">
        <f t="shared" si="2"/>
        <v/>
      </c>
      <c r="R46" s="36" t="str">
        <f t="shared" si="3"/>
        <v/>
      </c>
      <c r="S46" s="24">
        <f t="shared" si="4"/>
        <v>0</v>
      </c>
      <c r="T46" s="24">
        <f>S46*係数!$H$30</f>
        <v>0</v>
      </c>
      <c r="U46" s="439">
        <f t="shared" si="5"/>
        <v>0</v>
      </c>
      <c r="V46" s="549">
        <f>U46*係数!$C$30*0.0000258</f>
        <v>0</v>
      </c>
      <c r="W46" s="549">
        <f t="shared" si="0"/>
        <v>0</v>
      </c>
      <c r="X46" s="513"/>
    </row>
    <row r="47" spans="2:24" x14ac:dyDescent="0.55000000000000004">
      <c r="B47" s="194" t="s">
        <v>81</v>
      </c>
      <c r="C47" s="25"/>
      <c r="D47" s="25"/>
      <c r="E47" s="25"/>
      <c r="F47" s="6"/>
      <c r="G47" s="6"/>
      <c r="H47" s="427">
        <f t="shared" si="6"/>
        <v>0.4</v>
      </c>
      <c r="I47" s="6"/>
      <c r="J47" s="3">
        <f t="shared" si="1"/>
        <v>0</v>
      </c>
      <c r="K47" s="3">
        <f>J47*係数!$H$30</f>
        <v>0</v>
      </c>
      <c r="L47" s="25"/>
      <c r="M47" s="25"/>
      <c r="N47" s="25"/>
      <c r="O47" s="6"/>
      <c r="P47" s="6"/>
      <c r="Q47" s="427" t="str">
        <f t="shared" si="2"/>
        <v/>
      </c>
      <c r="R47" s="36" t="str">
        <f t="shared" si="3"/>
        <v/>
      </c>
      <c r="S47" s="24">
        <f t="shared" si="4"/>
        <v>0</v>
      </c>
      <c r="T47" s="24">
        <f>S47*係数!$H$30</f>
        <v>0</v>
      </c>
      <c r="U47" s="439">
        <f t="shared" si="5"/>
        <v>0</v>
      </c>
      <c r="V47" s="549">
        <f>U47*係数!$C$30*0.0000258</f>
        <v>0</v>
      </c>
      <c r="W47" s="549">
        <f t="shared" si="0"/>
        <v>0</v>
      </c>
      <c r="X47" s="513"/>
    </row>
    <row r="48" spans="2:24" x14ac:dyDescent="0.55000000000000004">
      <c r="B48" s="194" t="s">
        <v>82</v>
      </c>
      <c r="C48" s="25"/>
      <c r="D48" s="25"/>
      <c r="E48" s="25"/>
      <c r="F48" s="6"/>
      <c r="G48" s="6"/>
      <c r="H48" s="427">
        <f t="shared" si="6"/>
        <v>0.4</v>
      </c>
      <c r="I48" s="6"/>
      <c r="J48" s="3">
        <f t="shared" si="1"/>
        <v>0</v>
      </c>
      <c r="K48" s="3">
        <f>J48*係数!$H$30</f>
        <v>0</v>
      </c>
      <c r="L48" s="25"/>
      <c r="M48" s="25"/>
      <c r="N48" s="25"/>
      <c r="O48" s="6"/>
      <c r="P48" s="6"/>
      <c r="Q48" s="427" t="str">
        <f t="shared" si="2"/>
        <v/>
      </c>
      <c r="R48" s="36" t="str">
        <f t="shared" si="3"/>
        <v/>
      </c>
      <c r="S48" s="24">
        <f t="shared" si="4"/>
        <v>0</v>
      </c>
      <c r="T48" s="24">
        <f>S48*係数!$H$30</f>
        <v>0</v>
      </c>
      <c r="U48" s="439">
        <f t="shared" si="5"/>
        <v>0</v>
      </c>
      <c r="V48" s="549">
        <f>U48*係数!$C$30*0.0000258</f>
        <v>0</v>
      </c>
      <c r="W48" s="549">
        <f t="shared" si="0"/>
        <v>0</v>
      </c>
      <c r="X48" s="513"/>
    </row>
    <row r="49" spans="2:24" x14ac:dyDescent="0.55000000000000004">
      <c r="B49" s="194" t="s">
        <v>83</v>
      </c>
      <c r="C49" s="25"/>
      <c r="D49" s="25"/>
      <c r="E49" s="25"/>
      <c r="F49" s="6"/>
      <c r="G49" s="6"/>
      <c r="H49" s="427">
        <f t="shared" si="6"/>
        <v>0.4</v>
      </c>
      <c r="I49" s="6"/>
      <c r="J49" s="3">
        <f t="shared" si="1"/>
        <v>0</v>
      </c>
      <c r="K49" s="3">
        <f>J49*係数!$H$30</f>
        <v>0</v>
      </c>
      <c r="L49" s="25"/>
      <c r="M49" s="25"/>
      <c r="N49" s="25"/>
      <c r="O49" s="6"/>
      <c r="P49" s="6"/>
      <c r="Q49" s="427" t="str">
        <f t="shared" si="2"/>
        <v/>
      </c>
      <c r="R49" s="36" t="str">
        <f t="shared" si="3"/>
        <v/>
      </c>
      <c r="S49" s="24">
        <f t="shared" si="4"/>
        <v>0</v>
      </c>
      <c r="T49" s="24">
        <f>S49*係数!$H$30</f>
        <v>0</v>
      </c>
      <c r="U49" s="439">
        <f t="shared" si="5"/>
        <v>0</v>
      </c>
      <c r="V49" s="549">
        <f>U49*係数!$C$30*0.0000258</f>
        <v>0</v>
      </c>
      <c r="W49" s="549">
        <f t="shared" si="0"/>
        <v>0</v>
      </c>
      <c r="X49" s="513"/>
    </row>
    <row r="50" spans="2:24" x14ac:dyDescent="0.55000000000000004">
      <c r="B50" s="194" t="s">
        <v>84</v>
      </c>
      <c r="C50" s="25"/>
      <c r="D50" s="25"/>
      <c r="E50" s="25"/>
      <c r="F50" s="6"/>
      <c r="G50" s="6"/>
      <c r="H50" s="427">
        <f t="shared" si="6"/>
        <v>0.4</v>
      </c>
      <c r="I50" s="6"/>
      <c r="J50" s="3">
        <f t="shared" si="1"/>
        <v>0</v>
      </c>
      <c r="K50" s="3">
        <f>J50*係数!$H$30</f>
        <v>0</v>
      </c>
      <c r="L50" s="25"/>
      <c r="M50" s="25"/>
      <c r="N50" s="25"/>
      <c r="O50" s="6"/>
      <c r="P50" s="6"/>
      <c r="Q50" s="427" t="str">
        <f t="shared" si="2"/>
        <v/>
      </c>
      <c r="R50" s="36" t="str">
        <f t="shared" si="3"/>
        <v/>
      </c>
      <c r="S50" s="24">
        <f t="shared" si="4"/>
        <v>0</v>
      </c>
      <c r="T50" s="24">
        <f>S50*係数!$H$30</f>
        <v>0</v>
      </c>
      <c r="U50" s="439">
        <f t="shared" ref="U50:U67" si="7">J50-S50</f>
        <v>0</v>
      </c>
      <c r="V50" s="549">
        <f>U50*係数!$C$30*0.0000258</f>
        <v>0</v>
      </c>
      <c r="W50" s="549">
        <f t="shared" ref="W50:W67" si="8">K50-T50</f>
        <v>0</v>
      </c>
      <c r="X50" s="513"/>
    </row>
    <row r="51" spans="2:24" x14ac:dyDescent="0.55000000000000004">
      <c r="B51" s="194" t="s">
        <v>85</v>
      </c>
      <c r="C51" s="25"/>
      <c r="D51" s="25"/>
      <c r="E51" s="25"/>
      <c r="F51" s="6"/>
      <c r="G51" s="6"/>
      <c r="H51" s="427">
        <f t="shared" si="6"/>
        <v>0.4</v>
      </c>
      <c r="I51" s="6"/>
      <c r="J51" s="3">
        <f t="shared" si="1"/>
        <v>0</v>
      </c>
      <c r="K51" s="3">
        <f>J51*係数!$H$30</f>
        <v>0</v>
      </c>
      <c r="L51" s="25"/>
      <c r="M51" s="25"/>
      <c r="N51" s="25"/>
      <c r="O51" s="6"/>
      <c r="P51" s="6"/>
      <c r="Q51" s="427" t="str">
        <f t="shared" si="2"/>
        <v/>
      </c>
      <c r="R51" s="36" t="str">
        <f t="shared" si="3"/>
        <v/>
      </c>
      <c r="S51" s="24">
        <f t="shared" si="4"/>
        <v>0</v>
      </c>
      <c r="T51" s="24">
        <f>S51*係数!$H$30</f>
        <v>0</v>
      </c>
      <c r="U51" s="439">
        <f t="shared" si="7"/>
        <v>0</v>
      </c>
      <c r="V51" s="549">
        <f>U51*係数!$C$30*0.0000258</f>
        <v>0</v>
      </c>
      <c r="W51" s="549">
        <f t="shared" si="8"/>
        <v>0</v>
      </c>
      <c r="X51" s="513"/>
    </row>
    <row r="52" spans="2:24" x14ac:dyDescent="0.55000000000000004">
      <c r="B52" s="194" t="s">
        <v>86</v>
      </c>
      <c r="C52" s="25"/>
      <c r="D52" s="25"/>
      <c r="E52" s="25"/>
      <c r="F52" s="6"/>
      <c r="G52" s="6"/>
      <c r="H52" s="427">
        <f t="shared" si="6"/>
        <v>0.4</v>
      </c>
      <c r="I52" s="6"/>
      <c r="J52" s="3">
        <f t="shared" si="1"/>
        <v>0</v>
      </c>
      <c r="K52" s="3">
        <f>J52*係数!$H$30</f>
        <v>0</v>
      </c>
      <c r="L52" s="25"/>
      <c r="M52" s="25"/>
      <c r="N52" s="25"/>
      <c r="O52" s="6"/>
      <c r="P52" s="6"/>
      <c r="Q52" s="427" t="str">
        <f t="shared" si="2"/>
        <v/>
      </c>
      <c r="R52" s="36" t="str">
        <f t="shared" si="3"/>
        <v/>
      </c>
      <c r="S52" s="24">
        <f t="shared" si="4"/>
        <v>0</v>
      </c>
      <c r="T52" s="24">
        <f>S52*係数!$H$30</f>
        <v>0</v>
      </c>
      <c r="U52" s="439">
        <f t="shared" si="7"/>
        <v>0</v>
      </c>
      <c r="V52" s="549">
        <f>U52*係数!$C$30*0.0000258</f>
        <v>0</v>
      </c>
      <c r="W52" s="549">
        <f t="shared" si="8"/>
        <v>0</v>
      </c>
      <c r="X52" s="513"/>
    </row>
    <row r="53" spans="2:24" x14ac:dyDescent="0.55000000000000004">
      <c r="B53" s="194" t="s">
        <v>87</v>
      </c>
      <c r="C53" s="25"/>
      <c r="D53" s="25"/>
      <c r="E53" s="25"/>
      <c r="F53" s="6"/>
      <c r="G53" s="6"/>
      <c r="H53" s="427">
        <f t="shared" si="6"/>
        <v>0.4</v>
      </c>
      <c r="I53" s="6"/>
      <c r="J53" s="3">
        <f t="shared" si="1"/>
        <v>0</v>
      </c>
      <c r="K53" s="3">
        <f>J53*係数!$H$30</f>
        <v>0</v>
      </c>
      <c r="L53" s="25"/>
      <c r="M53" s="25"/>
      <c r="N53" s="25"/>
      <c r="O53" s="6"/>
      <c r="P53" s="6"/>
      <c r="Q53" s="427" t="str">
        <f t="shared" si="2"/>
        <v/>
      </c>
      <c r="R53" s="36" t="str">
        <f t="shared" si="3"/>
        <v/>
      </c>
      <c r="S53" s="24">
        <f t="shared" si="4"/>
        <v>0</v>
      </c>
      <c r="T53" s="24">
        <f>S53*係数!$H$30</f>
        <v>0</v>
      </c>
      <c r="U53" s="439">
        <f t="shared" si="7"/>
        <v>0</v>
      </c>
      <c r="V53" s="549">
        <f>U53*係数!$C$30*0.0000258</f>
        <v>0</v>
      </c>
      <c r="W53" s="549">
        <f t="shared" si="8"/>
        <v>0</v>
      </c>
      <c r="X53" s="513"/>
    </row>
    <row r="54" spans="2:24" x14ac:dyDescent="0.55000000000000004">
      <c r="B54" s="194" t="s">
        <v>88</v>
      </c>
      <c r="C54" s="25"/>
      <c r="D54" s="25"/>
      <c r="E54" s="25"/>
      <c r="F54" s="6"/>
      <c r="G54" s="6"/>
      <c r="H54" s="427">
        <f t="shared" si="6"/>
        <v>0.4</v>
      </c>
      <c r="I54" s="6"/>
      <c r="J54" s="3">
        <f t="shared" si="1"/>
        <v>0</v>
      </c>
      <c r="K54" s="3">
        <f>J54*係数!$H$30</f>
        <v>0</v>
      </c>
      <c r="L54" s="25"/>
      <c r="M54" s="25"/>
      <c r="N54" s="25"/>
      <c r="O54" s="6"/>
      <c r="P54" s="6"/>
      <c r="Q54" s="427" t="str">
        <f t="shared" si="2"/>
        <v/>
      </c>
      <c r="R54" s="36" t="str">
        <f t="shared" si="3"/>
        <v/>
      </c>
      <c r="S54" s="24">
        <f t="shared" si="4"/>
        <v>0</v>
      </c>
      <c r="T54" s="24">
        <f>S54*係数!$H$30</f>
        <v>0</v>
      </c>
      <c r="U54" s="439">
        <f t="shared" si="7"/>
        <v>0</v>
      </c>
      <c r="V54" s="549">
        <f>U54*係数!$C$30*0.0000258</f>
        <v>0</v>
      </c>
      <c r="W54" s="549">
        <f t="shared" si="8"/>
        <v>0</v>
      </c>
      <c r="X54" s="513"/>
    </row>
    <row r="55" spans="2:24" x14ac:dyDescent="0.55000000000000004">
      <c r="B55" s="194" t="s">
        <v>89</v>
      </c>
      <c r="C55" s="25"/>
      <c r="D55" s="25"/>
      <c r="E55" s="25"/>
      <c r="F55" s="6"/>
      <c r="G55" s="6"/>
      <c r="H55" s="427">
        <f t="shared" si="6"/>
        <v>0.4</v>
      </c>
      <c r="I55" s="6"/>
      <c r="J55" s="3">
        <f t="shared" si="1"/>
        <v>0</v>
      </c>
      <c r="K55" s="3">
        <f>J55*係数!$H$30</f>
        <v>0</v>
      </c>
      <c r="L55" s="25"/>
      <c r="M55" s="25"/>
      <c r="N55" s="25"/>
      <c r="O55" s="6"/>
      <c r="P55" s="6"/>
      <c r="Q55" s="427" t="str">
        <f t="shared" si="2"/>
        <v/>
      </c>
      <c r="R55" s="36" t="str">
        <f t="shared" si="3"/>
        <v/>
      </c>
      <c r="S55" s="24">
        <f t="shared" si="4"/>
        <v>0</v>
      </c>
      <c r="T55" s="24">
        <f>S55*係数!$H$30</f>
        <v>0</v>
      </c>
      <c r="U55" s="439">
        <f t="shared" si="7"/>
        <v>0</v>
      </c>
      <c r="V55" s="549">
        <f>U55*係数!$C$30*0.0000258</f>
        <v>0</v>
      </c>
      <c r="W55" s="549">
        <f t="shared" si="8"/>
        <v>0</v>
      </c>
      <c r="X55" s="513"/>
    </row>
    <row r="56" spans="2:24" x14ac:dyDescent="0.55000000000000004">
      <c r="B56" s="194" t="s">
        <v>90</v>
      </c>
      <c r="C56" s="25"/>
      <c r="D56" s="25"/>
      <c r="E56" s="25"/>
      <c r="F56" s="6"/>
      <c r="G56" s="6"/>
      <c r="H56" s="427">
        <f t="shared" si="6"/>
        <v>0.4</v>
      </c>
      <c r="I56" s="6"/>
      <c r="J56" s="3">
        <f t="shared" si="1"/>
        <v>0</v>
      </c>
      <c r="K56" s="3">
        <f>J56*係数!$H$30</f>
        <v>0</v>
      </c>
      <c r="L56" s="25"/>
      <c r="M56" s="25"/>
      <c r="N56" s="25"/>
      <c r="O56" s="6"/>
      <c r="P56" s="6"/>
      <c r="Q56" s="427" t="str">
        <f t="shared" si="2"/>
        <v/>
      </c>
      <c r="R56" s="36" t="str">
        <f t="shared" si="3"/>
        <v/>
      </c>
      <c r="S56" s="24">
        <f t="shared" si="4"/>
        <v>0</v>
      </c>
      <c r="T56" s="24">
        <f>S56*係数!$H$30</f>
        <v>0</v>
      </c>
      <c r="U56" s="439">
        <f t="shared" si="7"/>
        <v>0</v>
      </c>
      <c r="V56" s="549">
        <f>U56*係数!$C$30*0.0000258</f>
        <v>0</v>
      </c>
      <c r="W56" s="549">
        <f t="shared" si="8"/>
        <v>0</v>
      </c>
      <c r="X56" s="513"/>
    </row>
    <row r="57" spans="2:24" x14ac:dyDescent="0.55000000000000004">
      <c r="B57" s="194" t="s">
        <v>91</v>
      </c>
      <c r="C57" s="25"/>
      <c r="D57" s="25"/>
      <c r="E57" s="25"/>
      <c r="F57" s="6"/>
      <c r="G57" s="6"/>
      <c r="H57" s="427">
        <f t="shared" si="6"/>
        <v>0.4</v>
      </c>
      <c r="I57" s="6"/>
      <c r="J57" s="3">
        <f t="shared" si="1"/>
        <v>0</v>
      </c>
      <c r="K57" s="3">
        <f>J57*係数!$H$30</f>
        <v>0</v>
      </c>
      <c r="L57" s="25"/>
      <c r="M57" s="25"/>
      <c r="N57" s="25"/>
      <c r="O57" s="6"/>
      <c r="P57" s="6"/>
      <c r="Q57" s="427" t="str">
        <f t="shared" si="2"/>
        <v/>
      </c>
      <c r="R57" s="36" t="str">
        <f t="shared" si="3"/>
        <v/>
      </c>
      <c r="S57" s="24">
        <f t="shared" si="4"/>
        <v>0</v>
      </c>
      <c r="T57" s="24">
        <f>S57*係数!$H$30</f>
        <v>0</v>
      </c>
      <c r="U57" s="439">
        <f t="shared" si="7"/>
        <v>0</v>
      </c>
      <c r="V57" s="549">
        <f>U57*係数!$C$30*0.0000258</f>
        <v>0</v>
      </c>
      <c r="W57" s="549">
        <f t="shared" si="8"/>
        <v>0</v>
      </c>
      <c r="X57" s="513"/>
    </row>
    <row r="58" spans="2:24" x14ac:dyDescent="0.55000000000000004">
      <c r="B58" s="194" t="s">
        <v>92</v>
      </c>
      <c r="C58" s="25"/>
      <c r="D58" s="25"/>
      <c r="E58" s="25"/>
      <c r="F58" s="6"/>
      <c r="G58" s="6"/>
      <c r="H58" s="427">
        <f t="shared" si="6"/>
        <v>0.4</v>
      </c>
      <c r="I58" s="6"/>
      <c r="J58" s="3">
        <f t="shared" si="1"/>
        <v>0</v>
      </c>
      <c r="K58" s="3">
        <f>J58*係数!$H$30</f>
        <v>0</v>
      </c>
      <c r="L58" s="25"/>
      <c r="M58" s="25"/>
      <c r="N58" s="25"/>
      <c r="O58" s="6"/>
      <c r="P58" s="6"/>
      <c r="Q58" s="427" t="str">
        <f t="shared" si="2"/>
        <v/>
      </c>
      <c r="R58" s="36" t="str">
        <f t="shared" si="3"/>
        <v/>
      </c>
      <c r="S58" s="24">
        <f t="shared" si="4"/>
        <v>0</v>
      </c>
      <c r="T58" s="24">
        <f>S58*係数!$H$30</f>
        <v>0</v>
      </c>
      <c r="U58" s="439">
        <f t="shared" si="7"/>
        <v>0</v>
      </c>
      <c r="V58" s="549">
        <f>U58*係数!$C$30*0.0000258</f>
        <v>0</v>
      </c>
      <c r="W58" s="549">
        <f t="shared" si="8"/>
        <v>0</v>
      </c>
      <c r="X58" s="513"/>
    </row>
    <row r="59" spans="2:24" x14ac:dyDescent="0.55000000000000004">
      <c r="B59" s="194" t="s">
        <v>93</v>
      </c>
      <c r="C59" s="25"/>
      <c r="D59" s="25"/>
      <c r="E59" s="25"/>
      <c r="F59" s="6"/>
      <c r="G59" s="6"/>
      <c r="H59" s="427">
        <f t="shared" si="6"/>
        <v>0.4</v>
      </c>
      <c r="I59" s="6"/>
      <c r="J59" s="3">
        <f t="shared" si="1"/>
        <v>0</v>
      </c>
      <c r="K59" s="3">
        <f>J59*係数!$H$30</f>
        <v>0</v>
      </c>
      <c r="L59" s="25"/>
      <c r="M59" s="25"/>
      <c r="N59" s="25"/>
      <c r="O59" s="6"/>
      <c r="P59" s="6"/>
      <c r="Q59" s="427" t="str">
        <f t="shared" si="2"/>
        <v/>
      </c>
      <c r="R59" s="36" t="str">
        <f t="shared" si="3"/>
        <v/>
      </c>
      <c r="S59" s="24">
        <f t="shared" si="4"/>
        <v>0</v>
      </c>
      <c r="T59" s="24">
        <f>S59*係数!$H$30</f>
        <v>0</v>
      </c>
      <c r="U59" s="439">
        <f t="shared" si="7"/>
        <v>0</v>
      </c>
      <c r="V59" s="549">
        <f>U59*係数!$C$30*0.0000258</f>
        <v>0</v>
      </c>
      <c r="W59" s="549">
        <f t="shared" si="8"/>
        <v>0</v>
      </c>
      <c r="X59" s="513"/>
    </row>
    <row r="60" spans="2:24" x14ac:dyDescent="0.55000000000000004">
      <c r="B60" s="194" t="s">
        <v>94</v>
      </c>
      <c r="C60" s="25"/>
      <c r="D60" s="25"/>
      <c r="E60" s="25"/>
      <c r="F60" s="6"/>
      <c r="G60" s="6"/>
      <c r="H60" s="427">
        <f t="shared" si="6"/>
        <v>0.4</v>
      </c>
      <c r="I60" s="6"/>
      <c r="J60" s="3">
        <f t="shared" si="1"/>
        <v>0</v>
      </c>
      <c r="K60" s="3">
        <f>J60*係数!$H$30</f>
        <v>0</v>
      </c>
      <c r="L60" s="25"/>
      <c r="M60" s="25"/>
      <c r="N60" s="25"/>
      <c r="O60" s="6"/>
      <c r="P60" s="6"/>
      <c r="Q60" s="427" t="str">
        <f t="shared" si="2"/>
        <v/>
      </c>
      <c r="R60" s="36" t="str">
        <f t="shared" si="3"/>
        <v/>
      </c>
      <c r="S60" s="24">
        <f t="shared" si="4"/>
        <v>0</v>
      </c>
      <c r="T60" s="24">
        <f>S60*係数!$H$30</f>
        <v>0</v>
      </c>
      <c r="U60" s="439">
        <f t="shared" si="7"/>
        <v>0</v>
      </c>
      <c r="V60" s="549">
        <f>U60*係数!$C$30*0.0000258</f>
        <v>0</v>
      </c>
      <c r="W60" s="549">
        <f t="shared" si="8"/>
        <v>0</v>
      </c>
      <c r="X60" s="513"/>
    </row>
    <row r="61" spans="2:24" x14ac:dyDescent="0.55000000000000004">
      <c r="B61" s="194" t="s">
        <v>95</v>
      </c>
      <c r="C61" s="25"/>
      <c r="D61" s="25"/>
      <c r="E61" s="25"/>
      <c r="F61" s="6"/>
      <c r="G61" s="6"/>
      <c r="H61" s="427">
        <f t="shared" si="6"/>
        <v>0.4</v>
      </c>
      <c r="I61" s="6"/>
      <c r="J61" s="3">
        <f t="shared" si="1"/>
        <v>0</v>
      </c>
      <c r="K61" s="3">
        <f>J61*係数!$H$30</f>
        <v>0</v>
      </c>
      <c r="L61" s="25"/>
      <c r="M61" s="25"/>
      <c r="N61" s="25"/>
      <c r="O61" s="6"/>
      <c r="P61" s="6"/>
      <c r="Q61" s="427" t="str">
        <f t="shared" si="2"/>
        <v/>
      </c>
      <c r="R61" s="36" t="str">
        <f t="shared" si="3"/>
        <v/>
      </c>
      <c r="S61" s="24">
        <f t="shared" si="4"/>
        <v>0</v>
      </c>
      <c r="T61" s="24">
        <f>S61*係数!$H$30</f>
        <v>0</v>
      </c>
      <c r="U61" s="439">
        <f t="shared" si="7"/>
        <v>0</v>
      </c>
      <c r="V61" s="549">
        <f>U61*係数!$C$30*0.0000258</f>
        <v>0</v>
      </c>
      <c r="W61" s="549">
        <f t="shared" si="8"/>
        <v>0</v>
      </c>
      <c r="X61" s="513"/>
    </row>
    <row r="62" spans="2:24" x14ac:dyDescent="0.55000000000000004">
      <c r="B62" s="194" t="s">
        <v>96</v>
      </c>
      <c r="C62" s="25"/>
      <c r="D62" s="25"/>
      <c r="E62" s="25"/>
      <c r="F62" s="6"/>
      <c r="G62" s="6"/>
      <c r="H62" s="427">
        <f t="shared" si="6"/>
        <v>0.4</v>
      </c>
      <c r="I62" s="6"/>
      <c r="J62" s="3">
        <f t="shared" si="1"/>
        <v>0</v>
      </c>
      <c r="K62" s="3">
        <f>J62*係数!$H$30</f>
        <v>0</v>
      </c>
      <c r="L62" s="25"/>
      <c r="M62" s="25"/>
      <c r="N62" s="25"/>
      <c r="O62" s="6"/>
      <c r="P62" s="6"/>
      <c r="Q62" s="427" t="str">
        <f t="shared" si="2"/>
        <v/>
      </c>
      <c r="R62" s="36" t="str">
        <f t="shared" si="3"/>
        <v/>
      </c>
      <c r="S62" s="24">
        <f t="shared" si="4"/>
        <v>0</v>
      </c>
      <c r="T62" s="24">
        <f>S62*係数!$H$30</f>
        <v>0</v>
      </c>
      <c r="U62" s="439">
        <f t="shared" si="7"/>
        <v>0</v>
      </c>
      <c r="V62" s="549">
        <f>U62*係数!$C$30*0.0000258</f>
        <v>0</v>
      </c>
      <c r="W62" s="549">
        <f t="shared" si="8"/>
        <v>0</v>
      </c>
      <c r="X62" s="513"/>
    </row>
    <row r="63" spans="2:24" x14ac:dyDescent="0.55000000000000004">
      <c r="B63" s="194" t="s">
        <v>97</v>
      </c>
      <c r="C63" s="25"/>
      <c r="D63" s="25"/>
      <c r="E63" s="25"/>
      <c r="F63" s="6"/>
      <c r="G63" s="6"/>
      <c r="H63" s="427">
        <f t="shared" si="6"/>
        <v>0.4</v>
      </c>
      <c r="I63" s="6"/>
      <c r="J63" s="3">
        <f t="shared" si="1"/>
        <v>0</v>
      </c>
      <c r="K63" s="3">
        <f>J63*係数!$H$30</f>
        <v>0</v>
      </c>
      <c r="L63" s="25"/>
      <c r="M63" s="25"/>
      <c r="N63" s="25"/>
      <c r="O63" s="6"/>
      <c r="P63" s="6"/>
      <c r="Q63" s="427" t="str">
        <f t="shared" si="2"/>
        <v/>
      </c>
      <c r="R63" s="36" t="str">
        <f t="shared" si="3"/>
        <v/>
      </c>
      <c r="S63" s="24">
        <f t="shared" si="4"/>
        <v>0</v>
      </c>
      <c r="T63" s="24">
        <f>S63*係数!$H$30</f>
        <v>0</v>
      </c>
      <c r="U63" s="439">
        <f t="shared" si="7"/>
        <v>0</v>
      </c>
      <c r="V63" s="549">
        <f>U63*係数!$C$30*0.0000258</f>
        <v>0</v>
      </c>
      <c r="W63" s="549">
        <f t="shared" si="8"/>
        <v>0</v>
      </c>
      <c r="X63" s="513"/>
    </row>
    <row r="64" spans="2:24" x14ac:dyDescent="0.55000000000000004">
      <c r="B64" s="194" t="s">
        <v>98</v>
      </c>
      <c r="C64" s="25"/>
      <c r="D64" s="25"/>
      <c r="E64" s="25"/>
      <c r="F64" s="6"/>
      <c r="G64" s="6"/>
      <c r="H64" s="427">
        <f t="shared" si="6"/>
        <v>0.4</v>
      </c>
      <c r="I64" s="6"/>
      <c r="J64" s="3">
        <f t="shared" si="1"/>
        <v>0</v>
      </c>
      <c r="K64" s="3">
        <f>J64*係数!$H$30</f>
        <v>0</v>
      </c>
      <c r="L64" s="25"/>
      <c r="M64" s="25"/>
      <c r="N64" s="25"/>
      <c r="O64" s="6"/>
      <c r="P64" s="6"/>
      <c r="Q64" s="427" t="str">
        <f t="shared" si="2"/>
        <v/>
      </c>
      <c r="R64" s="36" t="str">
        <f t="shared" si="3"/>
        <v/>
      </c>
      <c r="S64" s="24">
        <f t="shared" si="4"/>
        <v>0</v>
      </c>
      <c r="T64" s="24">
        <f>S64*係数!$H$30</f>
        <v>0</v>
      </c>
      <c r="U64" s="439">
        <f t="shared" si="7"/>
        <v>0</v>
      </c>
      <c r="V64" s="549">
        <f>U64*係数!$C$30*0.0000258</f>
        <v>0</v>
      </c>
      <c r="W64" s="549">
        <f t="shared" si="8"/>
        <v>0</v>
      </c>
      <c r="X64" s="513"/>
    </row>
    <row r="65" spans="2:24" x14ac:dyDescent="0.55000000000000004">
      <c r="B65" s="194" t="s">
        <v>99</v>
      </c>
      <c r="C65" s="25"/>
      <c r="D65" s="25"/>
      <c r="E65" s="25"/>
      <c r="F65" s="6"/>
      <c r="G65" s="6"/>
      <c r="H65" s="427">
        <f t="shared" si="6"/>
        <v>0.4</v>
      </c>
      <c r="I65" s="6"/>
      <c r="J65" s="3">
        <f t="shared" si="1"/>
        <v>0</v>
      </c>
      <c r="K65" s="3">
        <f>J65*係数!$H$30</f>
        <v>0</v>
      </c>
      <c r="L65" s="25"/>
      <c r="M65" s="25"/>
      <c r="N65" s="25"/>
      <c r="O65" s="6"/>
      <c r="P65" s="6"/>
      <c r="Q65" s="427" t="str">
        <f t="shared" si="2"/>
        <v/>
      </c>
      <c r="R65" s="36" t="str">
        <f t="shared" si="3"/>
        <v/>
      </c>
      <c r="S65" s="24">
        <f t="shared" si="4"/>
        <v>0</v>
      </c>
      <c r="T65" s="24">
        <f>S65*係数!$H$30</f>
        <v>0</v>
      </c>
      <c r="U65" s="439">
        <f t="shared" si="7"/>
        <v>0</v>
      </c>
      <c r="V65" s="549">
        <f>U65*係数!$C$30*0.0000258</f>
        <v>0</v>
      </c>
      <c r="W65" s="549">
        <f t="shared" si="8"/>
        <v>0</v>
      </c>
      <c r="X65" s="513"/>
    </row>
    <row r="66" spans="2:24" x14ac:dyDescent="0.55000000000000004">
      <c r="B66" s="194" t="s">
        <v>100</v>
      </c>
      <c r="C66" s="25"/>
      <c r="D66" s="25"/>
      <c r="E66" s="25"/>
      <c r="F66" s="6"/>
      <c r="G66" s="6"/>
      <c r="H66" s="427">
        <f t="shared" si="6"/>
        <v>0.4</v>
      </c>
      <c r="I66" s="6"/>
      <c r="J66" s="3">
        <f t="shared" si="1"/>
        <v>0</v>
      </c>
      <c r="K66" s="3">
        <f>J66*係数!$H$30</f>
        <v>0</v>
      </c>
      <c r="L66" s="25"/>
      <c r="M66" s="25"/>
      <c r="N66" s="25"/>
      <c r="O66" s="6"/>
      <c r="P66" s="6"/>
      <c r="Q66" s="427" t="str">
        <f t="shared" si="2"/>
        <v/>
      </c>
      <c r="R66" s="36" t="str">
        <f t="shared" si="3"/>
        <v/>
      </c>
      <c r="S66" s="24">
        <f t="shared" si="4"/>
        <v>0</v>
      </c>
      <c r="T66" s="24">
        <f>S66*係数!$H$30</f>
        <v>0</v>
      </c>
      <c r="U66" s="439">
        <f t="shared" si="7"/>
        <v>0</v>
      </c>
      <c r="V66" s="549">
        <f>U66*係数!$C$30*0.0000258</f>
        <v>0</v>
      </c>
      <c r="W66" s="549">
        <f t="shared" si="8"/>
        <v>0</v>
      </c>
      <c r="X66" s="513"/>
    </row>
    <row r="67" spans="2:24" x14ac:dyDescent="0.55000000000000004">
      <c r="B67" s="194" t="s">
        <v>101</v>
      </c>
      <c r="C67" s="25"/>
      <c r="D67" s="25"/>
      <c r="E67" s="25"/>
      <c r="F67" s="6"/>
      <c r="G67" s="6"/>
      <c r="H67" s="427">
        <f t="shared" si="6"/>
        <v>0.4</v>
      </c>
      <c r="I67" s="6"/>
      <c r="J67" s="3">
        <f t="shared" si="1"/>
        <v>0</v>
      </c>
      <c r="K67" s="3">
        <f>J67*係数!$H$30</f>
        <v>0</v>
      </c>
      <c r="L67" s="25"/>
      <c r="M67" s="25"/>
      <c r="N67" s="25"/>
      <c r="O67" s="6"/>
      <c r="P67" s="6"/>
      <c r="Q67" s="427" t="str">
        <f t="shared" si="2"/>
        <v/>
      </c>
      <c r="R67" s="36" t="str">
        <f t="shared" si="3"/>
        <v/>
      </c>
      <c r="S67" s="24">
        <f t="shared" si="4"/>
        <v>0</v>
      </c>
      <c r="T67" s="24">
        <f>S67*係数!$H$30</f>
        <v>0</v>
      </c>
      <c r="U67" s="439">
        <f t="shared" si="7"/>
        <v>0</v>
      </c>
      <c r="V67" s="549">
        <f>U67*係数!$C$30*0.0000258</f>
        <v>0</v>
      </c>
      <c r="W67" s="549">
        <f t="shared" si="8"/>
        <v>0</v>
      </c>
      <c r="X67" s="513"/>
    </row>
  </sheetData>
  <sheetProtection password="CC4B" sheet="1" formatCells="0" formatColumns="0" formatRows="0"/>
  <mergeCells count="11">
    <mergeCell ref="X13:X15"/>
    <mergeCell ref="M4:U4"/>
    <mergeCell ref="M3:U3"/>
    <mergeCell ref="M6:U6"/>
    <mergeCell ref="N7:U7"/>
    <mergeCell ref="B13:B14"/>
    <mergeCell ref="D3:E3"/>
    <mergeCell ref="D4:E4"/>
    <mergeCell ref="D5:E5"/>
    <mergeCell ref="D6:E6"/>
    <mergeCell ref="D7:E7"/>
  </mergeCells>
  <phoneticPr fontId="5"/>
  <conditionalFormatting sqref="J7">
    <cfRule type="expression" dxfId="24" priority="5">
      <formula>$E$1="なし"</formula>
    </cfRule>
  </conditionalFormatting>
  <conditionalFormatting sqref="G7">
    <cfRule type="expression" dxfId="23" priority="4">
      <formula>$E$1="なし"</formula>
    </cfRule>
  </conditionalFormatting>
  <conditionalFormatting sqref="H7">
    <cfRule type="expression" dxfId="22" priority="3">
      <formula>$E$1="なし"</formula>
    </cfRule>
  </conditionalFormatting>
  <conditionalFormatting sqref="M17">
    <cfRule type="cellIs" dxfId="21" priority="2" operator="greaterThan">
      <formula>$D$17</formula>
    </cfRule>
  </conditionalFormatting>
  <conditionalFormatting sqref="N7">
    <cfRule type="cellIs" dxfId="20" priority="1" operator="notEqual">
      <formula>"ー"</formula>
    </cfRule>
  </conditionalFormatting>
  <pageMargins left="0.70866141732283472" right="0.70866141732283472" top="0.74803149606299213" bottom="0.74803149606299213" header="0.31496062992125984" footer="0.31496062992125984"/>
  <pageSetup paperSize="9" scale="49" fitToHeight="0" orientation="landscape" r:id="rId1"/>
  <ignoredErrors>
    <ignoredError sqref="I6:J6 W17 D17:U1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使用量と光熱費</vt:lpstr>
      <vt:lpstr>照明</vt:lpstr>
      <vt:lpstr>空調（電気）</vt:lpstr>
      <vt:lpstr>空調（電気） (APF)</vt:lpstr>
      <vt:lpstr>空調（GHP)</vt:lpstr>
      <vt:lpstr>空調（GHP)（APF）</vt:lpstr>
      <vt:lpstr>ボイラー・給湯器</vt:lpstr>
      <vt:lpstr>コンプレッサー</vt:lpstr>
      <vt:lpstr>変圧器</vt:lpstr>
      <vt:lpstr>その他</vt:lpstr>
      <vt:lpstr>記入例</vt:lpstr>
      <vt:lpstr>係数</vt:lpstr>
      <vt:lpstr>モーター効率</vt:lpstr>
      <vt:lpstr>空調kcal換算</vt:lpstr>
      <vt:lpstr>出典資料</vt:lpstr>
      <vt:lpstr>コンプレッサー!Print_Area</vt:lpstr>
      <vt:lpstr>その他!Print_Area</vt:lpstr>
      <vt:lpstr>ボイラー・給湯器!Print_Area</vt:lpstr>
      <vt:lpstr>'空調（GHP)'!Print_Area</vt:lpstr>
      <vt:lpstr>'空調（GHP)（APF）'!Print_Area</vt:lpstr>
      <vt:lpstr>'空調（電気）'!Print_Area</vt:lpstr>
      <vt:lpstr>'空調（電気） (APF)'!Print_Area</vt:lpstr>
      <vt:lpstr>使用量と光熱費!Print_Area</vt:lpstr>
      <vt:lpstr>照明!Print_Area</vt:lpstr>
      <vt:lpstr>変圧器!Print_Area</vt:lpstr>
      <vt:lpstr>'空調（GHP)'!Print_Titles</vt:lpstr>
      <vt:lpstr>'空調（GHP)（APF）'!Print_Titles</vt:lpstr>
      <vt:lpstr>'空調（電気）'!Print_Titles</vt:lpstr>
      <vt:lpstr>'空調（電気） (APF)'!Print_Titles</vt:lpstr>
      <vt:lpstr>照明!Print_Titles</vt:lpstr>
      <vt:lpstr>rangeIE1</vt:lpstr>
      <vt:lpstr>rangeIE2</vt:lpstr>
      <vt:lpstr>rangeIE3</vt:lpstr>
      <vt:lpstr>rangeIE4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egashira</dc:creator>
  <cp:lastModifiedBy>takakusa</cp:lastModifiedBy>
  <cp:lastPrinted>2024-05-21T05:00:14Z</cp:lastPrinted>
  <dcterms:created xsi:type="dcterms:W3CDTF">2023-04-27T05:58:44Z</dcterms:created>
  <dcterms:modified xsi:type="dcterms:W3CDTF">2024-06-06T07:39:07Z</dcterms:modified>
</cp:coreProperties>
</file>