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kakusa\エヌエス環境 Dropbox\01000_03_本社_技術部\技術部\3.受注業務対応\環境計画25-07  神奈川県_Ｒ７神奈川県脱炭素補助金【★個人情報】\04.作業用\2.準備（様式改訂、作成例、手引き）\【省エネ設備】\"/>
    </mc:Choice>
  </mc:AlternateContent>
  <workbookProtection workbookAlgorithmName="SHA-512" workbookHashValue="twwEE2GhJw9+GkgT42f7S784/kZVqgqhbWob5Pwrde3dIzv3s+Lywv2kVIRcllpxlSp6WisGDxE4h3FJdLv/ig==" workbookSaltValue="mzrwP/qQ0KLqGx4myvAJKg==" workbookSpinCount="100000" lockStructure="1"/>
  <bookViews>
    <workbookView xWindow="0" yWindow="0" windowWidth="19200" windowHeight="6490"/>
  </bookViews>
  <sheets>
    <sheet name="エネルギー使用量" sheetId="1" r:id="rId1"/>
    <sheet name="照明" sheetId="2" r:id="rId2"/>
    <sheet name="空調" sheetId="4" r:id="rId3"/>
    <sheet name="空調負荷率" sheetId="17" state="hidden" r:id="rId4"/>
    <sheet name="ボイラー・給湯器" sheetId="5" r:id="rId5"/>
    <sheet name="コンプレッサー" sheetId="7" r:id="rId6"/>
    <sheet name="変圧器" sheetId="8" r:id="rId7"/>
    <sheet name="その他" sheetId="6" state="hidden" r:id="rId8"/>
    <sheet name="印刷用_記入例" sheetId="22" r:id="rId9"/>
    <sheet name="係数" sheetId="9" r:id="rId10"/>
    <sheet name="モーター効率" sheetId="10" r:id="rId11"/>
    <sheet name="空調kcal換算" sheetId="11" state="hidden" r:id="rId12"/>
    <sheet name="出典資料" sheetId="16" state="hidden" r:id="rId13"/>
    <sheet name="更新・修正記録" sheetId="23" state="hidden" r:id="rId14"/>
  </sheets>
  <definedNames>
    <definedName name="_xlnm._FilterDatabase" localSheetId="13" hidden="1">更新・修正記録!$B$2:$H$16</definedName>
    <definedName name="_xlnm._FilterDatabase" localSheetId="1" hidden="1">照明!$B$18:$Y$18</definedName>
    <definedName name="haishutukeisuu" hidden="1">{"'第２表'!$W$27:$AA$68"}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lpu" hidden="1">{"'第２表'!$W$27:$AA$68"}</definedName>
    <definedName name="pps推移" hidden="1">{"'第２表'!$W$27:$AA$68"}</definedName>
    <definedName name="_xlnm.Print_Area" localSheetId="0">エネルギー使用量!$A$1:$W$40</definedName>
    <definedName name="_xlnm.Print_Area" localSheetId="5">コンプレッサー!$A$1:$AH$29</definedName>
    <definedName name="_xlnm.Print_Area" localSheetId="7">その他!$A$1:$AA$39</definedName>
    <definedName name="_xlnm.Print_Area" localSheetId="4">ボイラー・給湯器!$A$1:$AN$31</definedName>
    <definedName name="_xlnm.Print_Area" localSheetId="8">印刷用_記入例!$A$1:$AX$186</definedName>
    <definedName name="_xlnm.Print_Area" localSheetId="2">空調!$A$1:$AO$41</definedName>
    <definedName name="_xlnm.Print_Area" localSheetId="1">照明!$A$1:$Y$55</definedName>
    <definedName name="_xlnm.Print_Area" localSheetId="6">変圧器!$A$1:$AC$40</definedName>
    <definedName name="_xlnm.Print_Titles" localSheetId="2">空調!$A:$B</definedName>
    <definedName name="_xlnm.Print_Titles" localSheetId="1">照明!$A:$B,照明!$1:$18</definedName>
    <definedName name="rangeIE1">モーター効率!$B$2:$B$32</definedName>
    <definedName name="rangeIE2">モーター効率!$B$33:$B$63</definedName>
    <definedName name="rangeIE3">モーター効率!$B$64:$B$94</definedName>
    <definedName name="rangeIE4">モーター効率!$B$95:$B$118</definedName>
    <definedName name="空調家庭用">#REF!</definedName>
    <definedName name="空調業務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8" l="1"/>
  <c r="B15" i="8"/>
  <c r="B45" i="7"/>
  <c r="B15" i="7"/>
  <c r="B41" i="5"/>
  <c r="B17" i="5"/>
  <c r="B55" i="4"/>
  <c r="B16" i="4"/>
  <c r="B527" i="2"/>
  <c r="B15" i="2"/>
  <c r="AG22" i="5" l="1"/>
  <c r="J6" i="4" l="1"/>
  <c r="L20" i="8"/>
  <c r="I20" i="8"/>
  <c r="M20" i="8" s="1"/>
  <c r="W51" i="8"/>
  <c r="W50" i="8"/>
  <c r="X50" i="8" s="1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X20" i="8"/>
  <c r="Y20" i="8" s="1"/>
  <c r="V20" i="8"/>
  <c r="O20" i="8" l="1"/>
  <c r="N20" i="8"/>
  <c r="Z20" i="8"/>
  <c r="AA20" i="8"/>
  <c r="S46" i="5"/>
  <c r="Y52" i="7" l="1"/>
  <c r="Y51" i="7"/>
  <c r="Y50" i="7"/>
  <c r="W50" i="7"/>
  <c r="X50" i="7" s="1"/>
  <c r="BX5" i="17" l="1"/>
  <c r="BW5" i="17"/>
  <c r="BV5" i="17"/>
  <c r="BU5" i="17"/>
  <c r="BT5" i="17"/>
  <c r="BS5" i="17"/>
  <c r="BR5" i="17"/>
  <c r="BQ5" i="17"/>
  <c r="BP5" i="17"/>
  <c r="BO5" i="17"/>
  <c r="BN5" i="17"/>
  <c r="BM5" i="17"/>
  <c r="BX4" i="17"/>
  <c r="BW4" i="17"/>
  <c r="BV4" i="17"/>
  <c r="BU4" i="17"/>
  <c r="BT4" i="17"/>
  <c r="BS4" i="17"/>
  <c r="BR4" i="17"/>
  <c r="BQ4" i="17"/>
  <c r="BP4" i="17"/>
  <c r="BO4" i="17"/>
  <c r="BN4" i="17"/>
  <c r="BM4" i="17"/>
  <c r="BH5" i="17"/>
  <c r="BG5" i="17"/>
  <c r="BF5" i="17"/>
  <c r="BE5" i="17"/>
  <c r="BD5" i="17"/>
  <c r="BC5" i="17"/>
  <c r="BB5" i="17"/>
  <c r="BA5" i="17"/>
  <c r="AZ5" i="17"/>
  <c r="AY5" i="17"/>
  <c r="AX5" i="17"/>
  <c r="AW5" i="17"/>
  <c r="BH4" i="17"/>
  <c r="BG4" i="17"/>
  <c r="BF4" i="17"/>
  <c r="BE4" i="17"/>
  <c r="BD4" i="17"/>
  <c r="BC4" i="17"/>
  <c r="BB4" i="17"/>
  <c r="BA4" i="17"/>
  <c r="AZ4" i="17"/>
  <c r="AY4" i="17"/>
  <c r="AX4" i="17"/>
  <c r="AW4" i="17"/>
  <c r="AK5" i="17" l="1"/>
  <c r="AJ5" i="17"/>
  <c r="AI5" i="17"/>
  <c r="AH5" i="17"/>
  <c r="AG5" i="17"/>
  <c r="AF5" i="17"/>
  <c r="AE5" i="17"/>
  <c r="AD5" i="17"/>
  <c r="AC5" i="17"/>
  <c r="AB5" i="17"/>
  <c r="AA5" i="17"/>
  <c r="Z5" i="17"/>
  <c r="AK4" i="17"/>
  <c r="AJ4" i="17"/>
  <c r="AI4" i="17"/>
  <c r="AH4" i="17"/>
  <c r="AG4" i="17"/>
  <c r="AF4" i="17"/>
  <c r="AE4" i="17"/>
  <c r="AD4" i="17"/>
  <c r="AC4" i="17"/>
  <c r="AB4" i="17"/>
  <c r="AA4" i="17"/>
  <c r="Z4" i="17"/>
  <c r="U5" i="17"/>
  <c r="T5" i="17"/>
  <c r="S5" i="17"/>
  <c r="R5" i="17"/>
  <c r="Q5" i="17"/>
  <c r="P5" i="17"/>
  <c r="O5" i="17"/>
  <c r="N5" i="17"/>
  <c r="M5" i="17"/>
  <c r="L5" i="17"/>
  <c r="K5" i="17"/>
  <c r="J5" i="17"/>
  <c r="U4" i="17"/>
  <c r="T4" i="17"/>
  <c r="S4" i="17"/>
  <c r="R4" i="17"/>
  <c r="Q4" i="17"/>
  <c r="P4" i="17"/>
  <c r="O4" i="17"/>
  <c r="N4" i="17"/>
  <c r="M4" i="17"/>
  <c r="L4" i="17"/>
  <c r="K4" i="17"/>
  <c r="J4" i="17"/>
  <c r="J87" i="17" s="1"/>
  <c r="Y94" i="17" l="1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D81" i="17" l="1"/>
  <c r="D82" i="17"/>
  <c r="D83" i="17"/>
  <c r="D84" i="17"/>
  <c r="D80" i="17"/>
  <c r="S532" i="2" l="1"/>
  <c r="S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536" i="2"/>
  <c r="S535" i="2"/>
  <c r="S534" i="2"/>
  <c r="S533" i="2"/>
  <c r="J532" i="2"/>
  <c r="J536" i="2"/>
  <c r="J535" i="2"/>
  <c r="J534" i="2"/>
  <c r="J533" i="2"/>
  <c r="H25" i="9" l="1"/>
  <c r="H30" i="9"/>
  <c r="K4" i="9"/>
  <c r="K2" i="9"/>
  <c r="AV33" i="17" l="1"/>
  <c r="AV34" i="17"/>
  <c r="AV35" i="17"/>
  <c r="AV36" i="17"/>
  <c r="AV37" i="17"/>
  <c r="AV38" i="17"/>
  <c r="AV39" i="17"/>
  <c r="AV40" i="17"/>
  <c r="AV41" i="17"/>
  <c r="AV42" i="17"/>
  <c r="AV43" i="17"/>
  <c r="AV44" i="17"/>
  <c r="AV45" i="17"/>
  <c r="AV46" i="17"/>
  <c r="AV47" i="17"/>
  <c r="AV48" i="17"/>
  <c r="AV49" i="17"/>
  <c r="AV50" i="17"/>
  <c r="AV51" i="17"/>
  <c r="AV52" i="17"/>
  <c r="I33" i="17" l="1"/>
  <c r="A1" i="8" l="1"/>
  <c r="A1" i="7"/>
  <c r="A1" i="5"/>
  <c r="A1" i="4"/>
  <c r="AR10" i="17" l="1"/>
  <c r="AS10" i="17" s="1"/>
  <c r="AP10" i="17"/>
  <c r="R46" i="5"/>
  <c r="H31" i="5"/>
  <c r="H30" i="5"/>
  <c r="H29" i="5"/>
  <c r="H28" i="5"/>
  <c r="H27" i="5"/>
  <c r="H26" i="5"/>
  <c r="H25" i="5"/>
  <c r="H24" i="5"/>
  <c r="H23" i="5"/>
  <c r="H22" i="5"/>
  <c r="H50" i="5" l="1"/>
  <c r="H49" i="5"/>
  <c r="H48" i="5"/>
  <c r="H47" i="5"/>
  <c r="H46" i="5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60" i="4"/>
  <c r="S33" i="17" l="1"/>
  <c r="G19" i="8"/>
  <c r="D19" i="8"/>
  <c r="D49" i="7" l="1"/>
  <c r="U49" i="7"/>
  <c r="S49" i="7"/>
  <c r="U19" i="8" l="1"/>
  <c r="T19" i="8"/>
  <c r="Q19" i="8"/>
  <c r="K7" i="8" s="1"/>
  <c r="H19" i="8"/>
  <c r="I30" i="8"/>
  <c r="L30" i="8"/>
  <c r="V30" i="8"/>
  <c r="I31" i="8"/>
  <c r="L31" i="8"/>
  <c r="V31" i="8"/>
  <c r="I32" i="8"/>
  <c r="L32" i="8"/>
  <c r="V32" i="8"/>
  <c r="I33" i="8"/>
  <c r="L33" i="8"/>
  <c r="V33" i="8"/>
  <c r="I34" i="8"/>
  <c r="L34" i="8"/>
  <c r="V34" i="8"/>
  <c r="X34" i="8"/>
  <c r="I35" i="8"/>
  <c r="L35" i="8"/>
  <c r="V35" i="8"/>
  <c r="I36" i="8"/>
  <c r="L36" i="8"/>
  <c r="V36" i="8"/>
  <c r="I37" i="8"/>
  <c r="L37" i="8"/>
  <c r="V37" i="8"/>
  <c r="I38" i="8"/>
  <c r="L38" i="8"/>
  <c r="V38" i="8"/>
  <c r="I39" i="8"/>
  <c r="L39" i="8"/>
  <c r="V39" i="8"/>
  <c r="U19" i="7"/>
  <c r="S19" i="7"/>
  <c r="F19" i="7"/>
  <c r="D19" i="7"/>
  <c r="H30" i="7"/>
  <c r="I30" i="7" s="1"/>
  <c r="N30" i="7"/>
  <c r="AA30" i="7" s="1"/>
  <c r="W30" i="7"/>
  <c r="X30" i="7" s="1"/>
  <c r="H31" i="7"/>
  <c r="I31" i="7" s="1"/>
  <c r="N31" i="7"/>
  <c r="AA31" i="7" s="1"/>
  <c r="W31" i="7"/>
  <c r="X31" i="7" s="1"/>
  <c r="H32" i="7"/>
  <c r="I32" i="7" s="1"/>
  <c r="N32" i="7"/>
  <c r="W32" i="7"/>
  <c r="X32" i="7" s="1"/>
  <c r="AA32" i="7"/>
  <c r="H33" i="7"/>
  <c r="I33" i="7" s="1"/>
  <c r="N33" i="7"/>
  <c r="AA33" i="7" s="1"/>
  <c r="W33" i="7"/>
  <c r="X33" i="7" s="1"/>
  <c r="H34" i="7"/>
  <c r="I34" i="7" s="1"/>
  <c r="N34" i="7"/>
  <c r="AA34" i="7" s="1"/>
  <c r="W34" i="7"/>
  <c r="X34" i="7" s="1"/>
  <c r="H35" i="7"/>
  <c r="I35" i="7" s="1"/>
  <c r="N35" i="7"/>
  <c r="AA35" i="7" s="1"/>
  <c r="W35" i="7"/>
  <c r="X35" i="7" s="1"/>
  <c r="H36" i="7"/>
  <c r="I36" i="7" s="1"/>
  <c r="N36" i="7"/>
  <c r="AA36" i="7" s="1"/>
  <c r="W36" i="7"/>
  <c r="X36" i="7" s="1"/>
  <c r="H37" i="7"/>
  <c r="I37" i="7" s="1"/>
  <c r="N37" i="7"/>
  <c r="AA37" i="7" s="1"/>
  <c r="W37" i="7"/>
  <c r="X37" i="7" s="1"/>
  <c r="H38" i="7"/>
  <c r="I38" i="7" s="1"/>
  <c r="N38" i="7"/>
  <c r="AA38" i="7" s="1"/>
  <c r="W38" i="7"/>
  <c r="X38" i="7" s="1"/>
  <c r="H39" i="7"/>
  <c r="I39" i="7" s="1"/>
  <c r="N39" i="7"/>
  <c r="AA39" i="7" s="1"/>
  <c r="W39" i="7"/>
  <c r="X39" i="7" s="1"/>
  <c r="V51" i="8"/>
  <c r="L51" i="8"/>
  <c r="I51" i="8"/>
  <c r="M51" i="8" s="1"/>
  <c r="V50" i="8"/>
  <c r="L50" i="8"/>
  <c r="I50" i="8"/>
  <c r="M50" i="8" s="1"/>
  <c r="U49" i="8"/>
  <c r="T49" i="8"/>
  <c r="Q49" i="8"/>
  <c r="H49" i="8"/>
  <c r="G49" i="8"/>
  <c r="D49" i="8"/>
  <c r="L29" i="8"/>
  <c r="L28" i="8"/>
  <c r="L27" i="8"/>
  <c r="L26" i="8"/>
  <c r="L25" i="8"/>
  <c r="L24" i="8"/>
  <c r="L23" i="8"/>
  <c r="L22" i="8"/>
  <c r="L21" i="8"/>
  <c r="X38" i="8" l="1"/>
  <c r="O37" i="7"/>
  <c r="O32" i="7"/>
  <c r="X31" i="8"/>
  <c r="Z31" i="8" s="1"/>
  <c r="X39" i="8"/>
  <c r="Z39" i="8" s="1"/>
  <c r="X32" i="8"/>
  <c r="Z32" i="8" s="1"/>
  <c r="O39" i="7"/>
  <c r="Q39" i="7" s="1"/>
  <c r="O38" i="7"/>
  <c r="Q38" i="7" s="1"/>
  <c r="AB39" i="7"/>
  <c r="AD39" i="7" s="1"/>
  <c r="O33" i="7"/>
  <c r="Q33" i="7" s="1"/>
  <c r="O35" i="7"/>
  <c r="Q35" i="7" s="1"/>
  <c r="O30" i="7"/>
  <c r="Q30" i="7" s="1"/>
  <c r="AB36" i="7"/>
  <c r="AD36" i="7" s="1"/>
  <c r="M36" i="8"/>
  <c r="O36" i="8" s="1"/>
  <c r="X33" i="8"/>
  <c r="Z33" i="8" s="1"/>
  <c r="X30" i="8"/>
  <c r="Z30" i="8" s="1"/>
  <c r="M30" i="8"/>
  <c r="O30" i="8" s="1"/>
  <c r="K3" i="8"/>
  <c r="L7" i="8"/>
  <c r="L19" i="8"/>
  <c r="AB30" i="7"/>
  <c r="AD30" i="7" s="1"/>
  <c r="O36" i="7"/>
  <c r="Q36" i="7" s="1"/>
  <c r="AB33" i="7"/>
  <c r="AD33" i="7" s="1"/>
  <c r="AB34" i="7"/>
  <c r="AB38" i="7"/>
  <c r="AE38" i="7" s="1"/>
  <c r="O34" i="7"/>
  <c r="Q34" i="7" s="1"/>
  <c r="AB31" i="7"/>
  <c r="AD31" i="7" s="1"/>
  <c r="O31" i="7"/>
  <c r="AB32" i="7"/>
  <c r="AD32" i="7" s="1"/>
  <c r="AB37" i="7"/>
  <c r="AD37" i="7" s="1"/>
  <c r="M39" i="8"/>
  <c r="M35" i="8"/>
  <c r="O35" i="8" s="1"/>
  <c r="M33" i="8"/>
  <c r="O33" i="8" s="1"/>
  <c r="X37" i="8"/>
  <c r="Z37" i="8" s="1"/>
  <c r="X35" i="8"/>
  <c r="M37" i="8"/>
  <c r="X36" i="8"/>
  <c r="M31" i="8"/>
  <c r="M34" i="8"/>
  <c r="X51" i="8"/>
  <c r="Z51" i="8" s="1"/>
  <c r="M38" i="8"/>
  <c r="AA38" i="8" s="1"/>
  <c r="M32" i="8"/>
  <c r="O32" i="8" s="1"/>
  <c r="Z50" i="8"/>
  <c r="Z34" i="8"/>
  <c r="Z38" i="8"/>
  <c r="Q37" i="7"/>
  <c r="AB35" i="7"/>
  <c r="Q32" i="7"/>
  <c r="L49" i="8"/>
  <c r="O50" i="8"/>
  <c r="M49" i="8"/>
  <c r="O51" i="8"/>
  <c r="AA51" i="8" l="1"/>
  <c r="AE35" i="7"/>
  <c r="AA36" i="8"/>
  <c r="AE37" i="7"/>
  <c r="AE33" i="7"/>
  <c r="AE30" i="7"/>
  <c r="AE36" i="7"/>
  <c r="AG36" i="7"/>
  <c r="AE31" i="7"/>
  <c r="AE39" i="7"/>
  <c r="AA33" i="8"/>
  <c r="O39" i="8"/>
  <c r="AC39" i="8" s="1"/>
  <c r="AC33" i="8"/>
  <c r="O34" i="8"/>
  <c r="AC34" i="8" s="1"/>
  <c r="AA34" i="8"/>
  <c r="AA39" i="8"/>
  <c r="AA30" i="8"/>
  <c r="AE34" i="7"/>
  <c r="Q31" i="7"/>
  <c r="AG31" i="7" s="1"/>
  <c r="AG33" i="7"/>
  <c r="AG30" i="7"/>
  <c r="AD38" i="7"/>
  <c r="AG38" i="7" s="1"/>
  <c r="AG39" i="7"/>
  <c r="AD34" i="7"/>
  <c r="AG34" i="7" s="1"/>
  <c r="AE32" i="7"/>
  <c r="AC32" i="8"/>
  <c r="O37" i="8"/>
  <c r="AC37" i="8" s="1"/>
  <c r="AA37" i="8"/>
  <c r="AA35" i="8"/>
  <c r="Z36" i="8"/>
  <c r="AC36" i="8" s="1"/>
  <c r="O31" i="8"/>
  <c r="AC31" i="8" s="1"/>
  <c r="AA31" i="8"/>
  <c r="Z35" i="8"/>
  <c r="AC35" i="8" s="1"/>
  <c r="AA32" i="8"/>
  <c r="O38" i="8"/>
  <c r="AC38" i="8" s="1"/>
  <c r="AC30" i="8"/>
  <c r="AA50" i="8"/>
  <c r="AC50" i="8"/>
  <c r="X49" i="8"/>
  <c r="AC51" i="8"/>
  <c r="O49" i="8"/>
  <c r="AG37" i="7"/>
  <c r="AG32" i="7"/>
  <c r="AD35" i="7"/>
  <c r="AG35" i="7" s="1"/>
  <c r="Z49" i="8"/>
  <c r="AA49" i="8" l="1"/>
  <c r="AC49" i="8"/>
  <c r="L7" i="7" l="1"/>
  <c r="M7" i="7" l="1"/>
  <c r="L3" i="7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F49" i="7" l="1"/>
  <c r="W52" i="7" l="1"/>
  <c r="X52" i="7" s="1"/>
  <c r="N52" i="7"/>
  <c r="AA52" i="7" s="1"/>
  <c r="H52" i="7"/>
  <c r="I52" i="7" s="1"/>
  <c r="O52" i="7" s="1"/>
  <c r="W51" i="7"/>
  <c r="X51" i="7" s="1"/>
  <c r="N51" i="7"/>
  <c r="AA51" i="7" s="1"/>
  <c r="H51" i="7"/>
  <c r="I51" i="7" s="1"/>
  <c r="O51" i="7" s="1"/>
  <c r="N50" i="7"/>
  <c r="H50" i="7"/>
  <c r="R50" i="5"/>
  <c r="I50" i="5"/>
  <c r="AC50" i="5"/>
  <c r="N49" i="7" l="1"/>
  <c r="O50" i="7"/>
  <c r="O49" i="7" s="1"/>
  <c r="I50" i="7"/>
  <c r="AF50" i="5"/>
  <c r="AG50" i="5"/>
  <c r="AB52" i="7"/>
  <c r="AB51" i="7"/>
  <c r="AE51" i="7" s="1"/>
  <c r="AA50" i="7"/>
  <c r="AA49" i="7" s="1"/>
  <c r="Q51" i="7"/>
  <c r="Q52" i="7"/>
  <c r="T50" i="5"/>
  <c r="R49" i="5"/>
  <c r="I49" i="5"/>
  <c r="AP50" i="5"/>
  <c r="AQ50" i="5"/>
  <c r="N50" i="5" s="1"/>
  <c r="AS50" i="5"/>
  <c r="AV50" i="5"/>
  <c r="AW50" i="5"/>
  <c r="AE50" i="5" s="1"/>
  <c r="AY50" i="5"/>
  <c r="AC48" i="5"/>
  <c r="Q50" i="7" l="1"/>
  <c r="Q49" i="7" s="1"/>
  <c r="AF49" i="5"/>
  <c r="AG49" i="5"/>
  <c r="T49" i="5"/>
  <c r="AD52" i="7"/>
  <c r="AG52" i="7" s="1"/>
  <c r="AE52" i="7"/>
  <c r="AD51" i="7"/>
  <c r="AG51" i="7" s="1"/>
  <c r="AB50" i="7"/>
  <c r="S50" i="5"/>
  <c r="AD50" i="5" s="1"/>
  <c r="AH50" i="5" s="1"/>
  <c r="V50" i="5"/>
  <c r="AT50" i="5"/>
  <c r="AZ50" i="5"/>
  <c r="AE50" i="7" l="1"/>
  <c r="AE49" i="7" s="1"/>
  <c r="AB49" i="7"/>
  <c r="AD50" i="7"/>
  <c r="AK50" i="5"/>
  <c r="AJ50" i="5"/>
  <c r="AM50" i="5" s="1"/>
  <c r="AG50" i="7" l="1"/>
  <c r="AG49" i="7" s="1"/>
  <c r="AD49" i="7"/>
  <c r="AS49" i="5"/>
  <c r="AY49" i="5"/>
  <c r="X45" i="5"/>
  <c r="X21" i="5"/>
  <c r="D45" i="5"/>
  <c r="S49" i="5" l="1"/>
  <c r="AD49" i="5" s="1"/>
  <c r="AH49" i="5" s="1"/>
  <c r="V49" i="5"/>
  <c r="K20" i="2"/>
  <c r="M20" i="2" s="1"/>
  <c r="N8" i="5"/>
  <c r="M8" i="5"/>
  <c r="N9" i="5"/>
  <c r="M9" i="5"/>
  <c r="K3" i="5" l="1"/>
  <c r="O7" i="5"/>
  <c r="AJ49" i="5"/>
  <c r="AM49" i="5" s="1"/>
  <c r="AK49" i="5"/>
  <c r="L48" i="5"/>
  <c r="BL95" i="17" l="1"/>
  <c r="BL96" i="17"/>
  <c r="BL97" i="17"/>
  <c r="BL98" i="17"/>
  <c r="BL94" i="17"/>
  <c r="AV95" i="17"/>
  <c r="AV96" i="17"/>
  <c r="AV97" i="17"/>
  <c r="AV98" i="17"/>
  <c r="AV94" i="17"/>
  <c r="BL57" i="17"/>
  <c r="BL58" i="17"/>
  <c r="BL59" i="17"/>
  <c r="BL60" i="17"/>
  <c r="BL61" i="17"/>
  <c r="BL62" i="17"/>
  <c r="BL63" i="17"/>
  <c r="BL64" i="17"/>
  <c r="BL65" i="17"/>
  <c r="BL66" i="17"/>
  <c r="BL67" i="17"/>
  <c r="BL68" i="17"/>
  <c r="BL69" i="17"/>
  <c r="BL70" i="17"/>
  <c r="BL71" i="17"/>
  <c r="BL72" i="17"/>
  <c r="BL73" i="17"/>
  <c r="BL74" i="17"/>
  <c r="BL75" i="17"/>
  <c r="BL56" i="17"/>
  <c r="AV57" i="17"/>
  <c r="AV58" i="17"/>
  <c r="AV59" i="17"/>
  <c r="AV60" i="17"/>
  <c r="AV61" i="17"/>
  <c r="AV62" i="17"/>
  <c r="AV63" i="17"/>
  <c r="AV64" i="17"/>
  <c r="AV65" i="17"/>
  <c r="AV66" i="17"/>
  <c r="AV67" i="17"/>
  <c r="AV68" i="17"/>
  <c r="AV69" i="17"/>
  <c r="AV70" i="17"/>
  <c r="AV71" i="17"/>
  <c r="AV72" i="17"/>
  <c r="AV73" i="17"/>
  <c r="AV74" i="17"/>
  <c r="AV75" i="17"/>
  <c r="AV56" i="17"/>
  <c r="Y95" i="17"/>
  <c r="Y96" i="17"/>
  <c r="Y97" i="17"/>
  <c r="Y98" i="17"/>
  <c r="I95" i="17"/>
  <c r="I96" i="17"/>
  <c r="I97" i="17"/>
  <c r="I98" i="17"/>
  <c r="I94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56" i="17"/>
  <c r="E80" i="17" l="1"/>
  <c r="F80" i="17" s="1"/>
  <c r="AD94" i="17" l="1"/>
  <c r="AB94" i="17"/>
  <c r="AC94" i="17"/>
  <c r="AE94" i="17"/>
  <c r="C94" i="17"/>
  <c r="AZ49" i="5" l="1"/>
  <c r="AW49" i="5"/>
  <c r="AE49" i="5" s="1"/>
  <c r="AV49" i="5"/>
  <c r="AT49" i="5"/>
  <c r="AR49" i="5"/>
  <c r="AQ49" i="5"/>
  <c r="N49" i="5" s="1"/>
  <c r="AY48" i="5" l="1"/>
  <c r="AZ48" i="5" s="1"/>
  <c r="AW48" i="5"/>
  <c r="AE48" i="5" s="1"/>
  <c r="AV48" i="5"/>
  <c r="AS48" i="5"/>
  <c r="AT48" i="5" s="1"/>
  <c r="AQ48" i="5"/>
  <c r="N48" i="5" s="1"/>
  <c r="AP48" i="5"/>
  <c r="AY47" i="5"/>
  <c r="AZ47" i="5" s="1"/>
  <c r="AW47" i="5"/>
  <c r="AE47" i="5" s="1"/>
  <c r="AV47" i="5"/>
  <c r="AS47" i="5"/>
  <c r="AT47" i="5" s="1"/>
  <c r="AQ47" i="5"/>
  <c r="N47" i="5" s="1"/>
  <c r="AP47" i="5"/>
  <c r="AY46" i="5"/>
  <c r="AZ46" i="5" s="1"/>
  <c r="AW46" i="5"/>
  <c r="AE46" i="5" s="1"/>
  <c r="AV46" i="5"/>
  <c r="AS46" i="5"/>
  <c r="AQ46" i="5"/>
  <c r="N46" i="5" s="1"/>
  <c r="AP46" i="5"/>
  <c r="R48" i="5"/>
  <c r="I48" i="5"/>
  <c r="R47" i="5"/>
  <c r="I47" i="5"/>
  <c r="AG46" i="5"/>
  <c r="I46" i="5"/>
  <c r="T46" i="5" s="1"/>
  <c r="AK44" i="5"/>
  <c r="AH44" i="5"/>
  <c r="AD44" i="5"/>
  <c r="T44" i="5"/>
  <c r="M44" i="5"/>
  <c r="P21" i="4"/>
  <c r="O21" i="4"/>
  <c r="N21" i="4"/>
  <c r="K21" i="4"/>
  <c r="J21" i="4"/>
  <c r="I21" i="4"/>
  <c r="D21" i="4"/>
  <c r="AF47" i="5" l="1"/>
  <c r="AG47" i="5"/>
  <c r="AF48" i="5"/>
  <c r="AG48" i="5"/>
  <c r="AT46" i="5"/>
  <c r="AF46" i="5"/>
  <c r="AD46" i="5"/>
  <c r="T47" i="5"/>
  <c r="C33" i="17"/>
  <c r="T48" i="5" l="1"/>
  <c r="S47" i="5"/>
  <c r="AD47" i="5" s="1"/>
  <c r="AH47" i="5" s="1"/>
  <c r="AJ47" i="5" s="1"/>
  <c r="S48" i="5"/>
  <c r="AD48" i="5" s="1"/>
  <c r="AH48" i="5" s="1"/>
  <c r="AJ48" i="5" s="1"/>
  <c r="AH46" i="5"/>
  <c r="AJ46" i="5" s="1"/>
  <c r="S45" i="5"/>
  <c r="V46" i="5"/>
  <c r="V48" i="5"/>
  <c r="V47" i="5"/>
  <c r="AM47" i="5" s="1"/>
  <c r="AK47" i="5"/>
  <c r="D13" i="9"/>
  <c r="I13" i="9"/>
  <c r="AP49" i="5" s="1"/>
  <c r="H13" i="9"/>
  <c r="AJ45" i="5" l="1"/>
  <c r="AM48" i="5"/>
  <c r="AK48" i="5"/>
  <c r="AO50" i="5"/>
  <c r="U50" i="5" s="1"/>
  <c r="AU49" i="5"/>
  <c r="AI49" i="5" s="1"/>
  <c r="AM46" i="5"/>
  <c r="AK46" i="5"/>
  <c r="U45" i="5"/>
  <c r="V45" i="5"/>
  <c r="AM45" i="5" l="1"/>
  <c r="AR80" i="17"/>
  <c r="AO94" i="17" l="1"/>
  <c r="AS80" i="17"/>
  <c r="BL88" i="17" l="1"/>
  <c r="BL89" i="17"/>
  <c r="BL90" i="17"/>
  <c r="BL91" i="17"/>
  <c r="BL87" i="17"/>
  <c r="Y88" i="17"/>
  <c r="Y89" i="17"/>
  <c r="Y90" i="17"/>
  <c r="Y91" i="17"/>
  <c r="Y87" i="17"/>
  <c r="AR81" i="17"/>
  <c r="AR82" i="17"/>
  <c r="AR83" i="17"/>
  <c r="AR84" i="17"/>
  <c r="I87" i="17"/>
  <c r="AV89" i="17"/>
  <c r="AV88" i="17"/>
  <c r="AV90" i="17"/>
  <c r="AV91" i="17"/>
  <c r="AV87" i="17"/>
  <c r="AP81" i="17"/>
  <c r="AQ81" i="17"/>
  <c r="AP82" i="17"/>
  <c r="AQ82" i="17"/>
  <c r="AP83" i="17"/>
  <c r="AQ83" i="17"/>
  <c r="AP84" i="17"/>
  <c r="AQ84" i="17"/>
  <c r="AQ80" i="17"/>
  <c r="AP80" i="17"/>
  <c r="BQ88" i="17" l="1"/>
  <c r="BR88" i="17"/>
  <c r="BO88" i="17"/>
  <c r="BP88" i="17"/>
  <c r="BQ91" i="17"/>
  <c r="BO91" i="17"/>
  <c r="BP91" i="17"/>
  <c r="BR91" i="17"/>
  <c r="BO87" i="17"/>
  <c r="BF94" i="17"/>
  <c r="BG94" i="17"/>
  <c r="BO94" i="17"/>
  <c r="BP87" i="17"/>
  <c r="BE94" i="17"/>
  <c r="BP94" i="17"/>
  <c r="BQ87" i="17"/>
  <c r="BR87" i="17"/>
  <c r="BR94" i="17"/>
  <c r="BQ94" i="17"/>
  <c r="AO98" i="17"/>
  <c r="AO96" i="17"/>
  <c r="AO97" i="17"/>
  <c r="AO95" i="17"/>
  <c r="AS82" i="17"/>
  <c r="AE87" i="17"/>
  <c r="AB87" i="17"/>
  <c r="AC87" i="17"/>
  <c r="AD87" i="17"/>
  <c r="T94" i="17" l="1"/>
  <c r="R94" i="17"/>
  <c r="S94" i="17"/>
  <c r="E81" i="17"/>
  <c r="E82" i="17"/>
  <c r="E83" i="17"/>
  <c r="E84" i="17"/>
  <c r="R87" i="17"/>
  <c r="S87" i="17"/>
  <c r="T87" i="17"/>
  <c r="I88" i="17"/>
  <c r="I89" i="17"/>
  <c r="I90" i="17"/>
  <c r="I91" i="17"/>
  <c r="Y81" i="17"/>
  <c r="BL81" i="17" s="1"/>
  <c r="Y82" i="17"/>
  <c r="BL82" i="17" s="1"/>
  <c r="Y83" i="17"/>
  <c r="BL83" i="17" s="1"/>
  <c r="Y84" i="17"/>
  <c r="BL84" i="17" s="1"/>
  <c r="Y80" i="17"/>
  <c r="I81" i="17"/>
  <c r="AV81" i="17" s="1"/>
  <c r="I82" i="17"/>
  <c r="AV82" i="17" s="1"/>
  <c r="I83" i="17"/>
  <c r="AV83" i="17" s="1"/>
  <c r="I84" i="17"/>
  <c r="AV84" i="17" s="1"/>
  <c r="I80" i="17"/>
  <c r="AG60" i="4"/>
  <c r="AF60" i="4"/>
  <c r="AE60" i="4"/>
  <c r="AD60" i="4"/>
  <c r="AC60" i="4"/>
  <c r="AB60" i="4"/>
  <c r="X60" i="4"/>
  <c r="P60" i="4"/>
  <c r="O60" i="4"/>
  <c r="N60" i="4"/>
  <c r="K60" i="4"/>
  <c r="J60" i="4"/>
  <c r="I60" i="4"/>
  <c r="AS84" i="17"/>
  <c r="AO91" i="17"/>
  <c r="C91" i="17"/>
  <c r="AO90" i="17"/>
  <c r="C90" i="17"/>
  <c r="AO89" i="17"/>
  <c r="C89" i="17"/>
  <c r="AO88" i="17"/>
  <c r="C88" i="17"/>
  <c r="AO87" i="17"/>
  <c r="C87" i="17"/>
  <c r="BR84" i="17"/>
  <c r="BQ84" i="17"/>
  <c r="BP84" i="17"/>
  <c r="BO84" i="17"/>
  <c r="BG84" i="17"/>
  <c r="BF84" i="17"/>
  <c r="BE84" i="17"/>
  <c r="BR83" i="17"/>
  <c r="BQ83" i="17"/>
  <c r="BP83" i="17"/>
  <c r="BO83" i="17"/>
  <c r="BG83" i="17"/>
  <c r="BF83" i="17"/>
  <c r="BE83" i="17"/>
  <c r="BR82" i="17"/>
  <c r="BQ82" i="17"/>
  <c r="BP82" i="17"/>
  <c r="BO82" i="17"/>
  <c r="BG82" i="17"/>
  <c r="BF82" i="17"/>
  <c r="BE82" i="17"/>
  <c r="BR81" i="17"/>
  <c r="BQ81" i="17"/>
  <c r="BP81" i="17"/>
  <c r="BO81" i="17"/>
  <c r="BG81" i="17"/>
  <c r="BF81" i="17"/>
  <c r="BE81" i="17"/>
  <c r="BR80" i="17"/>
  <c r="BQ80" i="17"/>
  <c r="BP80" i="17"/>
  <c r="BO80" i="17"/>
  <c r="BG80" i="17"/>
  <c r="BF80" i="17"/>
  <c r="BE80" i="17"/>
  <c r="BG98" i="17" l="1"/>
  <c r="BF98" i="17"/>
  <c r="BE98" i="17"/>
  <c r="C95" i="17"/>
  <c r="F81" i="17"/>
  <c r="R95" i="17" s="1"/>
  <c r="C96" i="17"/>
  <c r="F82" i="17"/>
  <c r="C97" i="17"/>
  <c r="F83" i="17"/>
  <c r="C98" i="17"/>
  <c r="D98" i="17"/>
  <c r="F84" i="17"/>
  <c r="AC90" i="17"/>
  <c r="BP90" i="17" s="1"/>
  <c r="AB90" i="17"/>
  <c r="BO90" i="17" s="1"/>
  <c r="AD90" i="17"/>
  <c r="BQ90" i="17" s="1"/>
  <c r="AE90" i="17"/>
  <c r="BR90" i="17" s="1"/>
  <c r="AB89" i="17"/>
  <c r="BO89" i="17" s="1"/>
  <c r="AC89" i="17"/>
  <c r="BP89" i="17" s="1"/>
  <c r="AD89" i="17"/>
  <c r="BQ89" i="17" s="1"/>
  <c r="AE89" i="17"/>
  <c r="BR89" i="17" s="1"/>
  <c r="AB88" i="17"/>
  <c r="AD88" i="17"/>
  <c r="AE88" i="17"/>
  <c r="AC88" i="17"/>
  <c r="AV80" i="17"/>
  <c r="BL80" i="17"/>
  <c r="AO84" i="17"/>
  <c r="AD91" i="17"/>
  <c r="AB91" i="17"/>
  <c r="AC91" i="17"/>
  <c r="AE91" i="17"/>
  <c r="AI82" i="17"/>
  <c r="T89" i="17"/>
  <c r="BG89" i="17" s="1"/>
  <c r="AO82" i="17"/>
  <c r="R96" i="17"/>
  <c r="BE96" i="17" s="1"/>
  <c r="S96" i="17"/>
  <c r="BF96" i="17" s="1"/>
  <c r="T96" i="17"/>
  <c r="BG96" i="17" s="1"/>
  <c r="S90" i="17"/>
  <c r="BF90" i="17" s="1"/>
  <c r="AO83" i="17"/>
  <c r="T90" i="17"/>
  <c r="BG90" i="17" s="1"/>
  <c r="R90" i="17"/>
  <c r="BE90" i="17" s="1"/>
  <c r="T88" i="17"/>
  <c r="S88" i="17"/>
  <c r="R88" i="17"/>
  <c r="T91" i="17"/>
  <c r="S91" i="17"/>
  <c r="R91" i="17"/>
  <c r="S89" i="17"/>
  <c r="BF89" i="17" s="1"/>
  <c r="R89" i="17"/>
  <c r="BE89" i="17" s="1"/>
  <c r="AS83" i="17"/>
  <c r="AO81" i="17"/>
  <c r="AI81" i="17"/>
  <c r="AI80" i="17"/>
  <c r="AO80" i="17"/>
  <c r="AS81" i="17"/>
  <c r="N80" i="17"/>
  <c r="AI84" i="17"/>
  <c r="AI83" i="17"/>
  <c r="AI98" i="17" l="1"/>
  <c r="AD96" i="17"/>
  <c r="BQ96" i="17" s="1"/>
  <c r="AE96" i="17"/>
  <c r="BR96" i="17" s="1"/>
  <c r="AB96" i="17"/>
  <c r="BO96" i="17" s="1"/>
  <c r="AC96" i="17"/>
  <c r="BP96" i="17" s="1"/>
  <c r="AI87" i="17"/>
  <c r="AI94" i="17"/>
  <c r="AI88" i="17"/>
  <c r="AI95" i="17"/>
  <c r="AD95" i="17"/>
  <c r="AE95" i="17"/>
  <c r="AB95" i="17"/>
  <c r="AC95" i="17"/>
  <c r="T98" i="17"/>
  <c r="AC98" i="17"/>
  <c r="AE98" i="17"/>
  <c r="AB98" i="17"/>
  <c r="AD98" i="17"/>
  <c r="AI90" i="17"/>
  <c r="BV90" i="17" s="1"/>
  <c r="AI97" i="17"/>
  <c r="BV97" i="17" s="1"/>
  <c r="BV82" i="17"/>
  <c r="AI96" i="17"/>
  <c r="BV96" i="17" s="1"/>
  <c r="R97" i="17"/>
  <c r="BE97" i="17" s="1"/>
  <c r="AC97" i="17"/>
  <c r="BP97" i="17" s="1"/>
  <c r="AE97" i="17"/>
  <c r="BR97" i="17" s="1"/>
  <c r="AD97" i="17"/>
  <c r="BQ97" i="17" s="1"/>
  <c r="AB97" i="17"/>
  <c r="BO97" i="17" s="1"/>
  <c r="S97" i="17"/>
  <c r="BF97" i="17" s="1"/>
  <c r="BG95" i="17"/>
  <c r="BE95" i="17"/>
  <c r="BF95" i="17"/>
  <c r="T97" i="17"/>
  <c r="BG97" i="17" s="1"/>
  <c r="R98" i="17"/>
  <c r="S98" i="17"/>
  <c r="S95" i="17"/>
  <c r="T95" i="17"/>
  <c r="AI91" i="17"/>
  <c r="AI89" i="17"/>
  <c r="BV89" i="17" s="1"/>
  <c r="AJ82" i="17"/>
  <c r="AJ96" i="17" s="1"/>
  <c r="BV81" i="17"/>
  <c r="BV88" i="17" s="1"/>
  <c r="AJ84" i="17"/>
  <c r="BV84" i="17"/>
  <c r="BV91" i="17" s="1"/>
  <c r="N94" i="17"/>
  <c r="N87" i="17"/>
  <c r="BV80" i="17"/>
  <c r="AJ80" i="17"/>
  <c r="M80" i="17"/>
  <c r="AJ81" i="17"/>
  <c r="BV83" i="17"/>
  <c r="BA80" i="17"/>
  <c r="BA94" i="17" s="1"/>
  <c r="AJ83" i="17"/>
  <c r="N82" i="17"/>
  <c r="AJ87" i="17" l="1"/>
  <c r="AJ94" i="17"/>
  <c r="AJ90" i="17"/>
  <c r="BW90" i="17" s="1"/>
  <c r="AJ97" i="17"/>
  <c r="BW97" i="17" s="1"/>
  <c r="AJ91" i="17"/>
  <c r="AJ98" i="17"/>
  <c r="AJ88" i="17"/>
  <c r="AJ95" i="17"/>
  <c r="BV87" i="17"/>
  <c r="BV94" i="17"/>
  <c r="BW82" i="17"/>
  <c r="AJ89" i="17"/>
  <c r="BW89" i="17" s="1"/>
  <c r="BW96" i="17"/>
  <c r="AH82" i="17"/>
  <c r="AH96" i="17" s="1"/>
  <c r="N89" i="17"/>
  <c r="BA89" i="17" s="1"/>
  <c r="N96" i="17"/>
  <c r="BA96" i="17" s="1"/>
  <c r="BW83" i="17"/>
  <c r="BW84" i="17"/>
  <c r="BW91" i="17" s="1"/>
  <c r="AZ80" i="17"/>
  <c r="AZ94" i="17" s="1"/>
  <c r="M94" i="17"/>
  <c r="M87" i="17"/>
  <c r="BW80" i="17"/>
  <c r="O80" i="17"/>
  <c r="M84" i="17"/>
  <c r="N84" i="17" s="1"/>
  <c r="N98" i="17" s="1"/>
  <c r="M82" i="17"/>
  <c r="M96" i="17" s="1"/>
  <c r="AZ96" i="17" s="1"/>
  <c r="BW81" i="17"/>
  <c r="BW88" i="17" s="1"/>
  <c r="AH80" i="17"/>
  <c r="BA82" i="17"/>
  <c r="AH87" i="17" l="1"/>
  <c r="AH94" i="17"/>
  <c r="BW94" i="17"/>
  <c r="BW87" i="17"/>
  <c r="N91" i="17"/>
  <c r="BA84" i="17"/>
  <c r="BA98" i="17" s="1"/>
  <c r="BU96" i="17"/>
  <c r="AH89" i="17"/>
  <c r="BU89" i="17" s="1"/>
  <c r="BU82" i="17"/>
  <c r="AK82" i="17"/>
  <c r="AK84" i="17"/>
  <c r="M91" i="17"/>
  <c r="M98" i="17"/>
  <c r="BB80" i="17"/>
  <c r="BB94" i="17" s="1"/>
  <c r="O94" i="17"/>
  <c r="O87" i="17"/>
  <c r="AK80" i="17"/>
  <c r="AK94" i="17" s="1"/>
  <c r="L80" i="17"/>
  <c r="AZ82" i="17"/>
  <c r="M89" i="17"/>
  <c r="AZ89" i="17" s="1"/>
  <c r="O82" i="17"/>
  <c r="O96" i="17" s="1"/>
  <c r="BB96" i="17" s="1"/>
  <c r="O84" i="17"/>
  <c r="AZ84" i="17"/>
  <c r="AZ98" i="17" s="1"/>
  <c r="BU80" i="17"/>
  <c r="AK89" i="17" l="1"/>
  <c r="BX89" i="17" s="1"/>
  <c r="AK96" i="17"/>
  <c r="BX96" i="17" s="1"/>
  <c r="AH84" i="17"/>
  <c r="AK98" i="17"/>
  <c r="BU87" i="17"/>
  <c r="BU94" i="17"/>
  <c r="AG82" i="17"/>
  <c r="BX82" i="17"/>
  <c r="AK91" i="17"/>
  <c r="AG80" i="17"/>
  <c r="AK87" i="17"/>
  <c r="K80" i="17"/>
  <c r="P80" i="17" s="1"/>
  <c r="O91" i="17"/>
  <c r="O98" i="17"/>
  <c r="BX84" i="17"/>
  <c r="BX91" i="17" s="1"/>
  <c r="AY80" i="17"/>
  <c r="AY94" i="17" s="1"/>
  <c r="L94" i="17"/>
  <c r="L87" i="17"/>
  <c r="BX80" i="17"/>
  <c r="BB82" i="17"/>
  <c r="O89" i="17"/>
  <c r="BB89" i="17" s="1"/>
  <c r="L82" i="17"/>
  <c r="K82" i="17" s="1"/>
  <c r="BB84" i="17"/>
  <c r="BB98" i="17" s="1"/>
  <c r="L84" i="17"/>
  <c r="AF82" i="17"/>
  <c r="BT80" i="17" l="1"/>
  <c r="BT87" i="17" s="1"/>
  <c r="AG94" i="17"/>
  <c r="AH91" i="17"/>
  <c r="AH98" i="17"/>
  <c r="AF89" i="17"/>
  <c r="BS89" i="17" s="1"/>
  <c r="AF96" i="17"/>
  <c r="BS96" i="17" s="1"/>
  <c r="AG84" i="17"/>
  <c r="AG98" i="17" s="1"/>
  <c r="AG89" i="17"/>
  <c r="BT89" i="17" s="1"/>
  <c r="AG96" i="17"/>
  <c r="BT96" i="17" s="1"/>
  <c r="BU84" i="17"/>
  <c r="BU91" i="17" s="1"/>
  <c r="BT94" i="17"/>
  <c r="BX87" i="17"/>
  <c r="BX94" i="17"/>
  <c r="BT82" i="17"/>
  <c r="AX80" i="17"/>
  <c r="AX94" i="17" s="1"/>
  <c r="Z82" i="17"/>
  <c r="K87" i="17"/>
  <c r="K94" i="17"/>
  <c r="BC80" i="17"/>
  <c r="BC94" i="17" s="1"/>
  <c r="P94" i="17"/>
  <c r="U80" i="17"/>
  <c r="J80" i="17" s="1"/>
  <c r="P87" i="17"/>
  <c r="L98" i="17"/>
  <c r="K84" i="17"/>
  <c r="AG87" i="17"/>
  <c r="Z80" i="17"/>
  <c r="Z94" i="17" s="1"/>
  <c r="BS82" i="17"/>
  <c r="K96" i="17"/>
  <c r="AX96" i="17" s="1"/>
  <c r="L96" i="17"/>
  <c r="AY96" i="17" s="1"/>
  <c r="L91" i="17"/>
  <c r="AY82" i="17"/>
  <c r="L89" i="17"/>
  <c r="AY89" i="17" s="1"/>
  <c r="AY84" i="17"/>
  <c r="AY98" i="17" s="1"/>
  <c r="AG91" i="17" l="1"/>
  <c r="Z84" i="17"/>
  <c r="BM84" i="17" s="1"/>
  <c r="BM91" i="17" s="1"/>
  <c r="BT84" i="17"/>
  <c r="BT91" i="17" s="1"/>
  <c r="Z89" i="17"/>
  <c r="BM89" i="17" s="1"/>
  <c r="Z96" i="17"/>
  <c r="BM96" i="17" s="1"/>
  <c r="BM80" i="17"/>
  <c r="J94" i="17"/>
  <c r="BM82" i="17"/>
  <c r="AA82" i="17"/>
  <c r="AA84" i="17"/>
  <c r="U94" i="17"/>
  <c r="U87" i="17"/>
  <c r="Z87" i="17"/>
  <c r="AA80" i="17"/>
  <c r="AX82" i="17"/>
  <c r="P82" i="17"/>
  <c r="K89" i="17"/>
  <c r="AX89" i="17" s="1"/>
  <c r="K98" i="17"/>
  <c r="K91" i="17"/>
  <c r="P84" i="17"/>
  <c r="AX84" i="17"/>
  <c r="AX98" i="17" s="1"/>
  <c r="BH80" i="17"/>
  <c r="BH94" i="17" s="1"/>
  <c r="AF80" i="17"/>
  <c r="AA87" i="17" l="1"/>
  <c r="AA94" i="17"/>
  <c r="AA91" i="17"/>
  <c r="AA98" i="17"/>
  <c r="AA89" i="17"/>
  <c r="BN89" i="17" s="1"/>
  <c r="AA96" i="17"/>
  <c r="BN96" i="17" s="1"/>
  <c r="AF87" i="17"/>
  <c r="AF94" i="17"/>
  <c r="Z91" i="17"/>
  <c r="Z98" i="17"/>
  <c r="BM94" i="17"/>
  <c r="BM87" i="17"/>
  <c r="AF84" i="17"/>
  <c r="BN84" i="17"/>
  <c r="BN91" i="17" s="1"/>
  <c r="BN82" i="17"/>
  <c r="BN80" i="17"/>
  <c r="P89" i="17"/>
  <c r="BC89" i="17" s="1"/>
  <c r="P96" i="17"/>
  <c r="BC96" i="17" s="1"/>
  <c r="BC82" i="17"/>
  <c r="U82" i="17"/>
  <c r="BH82" i="17" s="1"/>
  <c r="BC84" i="17"/>
  <c r="BC98" i="17" s="1"/>
  <c r="P98" i="17"/>
  <c r="P91" i="17"/>
  <c r="BS80" i="17"/>
  <c r="AW80" i="17"/>
  <c r="AW94" i="17" s="1"/>
  <c r="Q80" i="17"/>
  <c r="AF91" i="17" l="1"/>
  <c r="AF98" i="17"/>
  <c r="BN94" i="17"/>
  <c r="BN87" i="17"/>
  <c r="BS87" i="17"/>
  <c r="BS94" i="17"/>
  <c r="BS84" i="17"/>
  <c r="BS91" i="17" s="1"/>
  <c r="AL94" i="17"/>
  <c r="J82" i="17"/>
  <c r="J89" i="17" s="1"/>
  <c r="AW89" i="17" s="1"/>
  <c r="U89" i="17"/>
  <c r="BH89" i="17" s="1"/>
  <c r="U96" i="17"/>
  <c r="BH96" i="17" s="1"/>
  <c r="BD80" i="17"/>
  <c r="BD94" i="17" s="1"/>
  <c r="Q94" i="17"/>
  <c r="V94" i="17" s="1"/>
  <c r="Q87" i="17"/>
  <c r="BY94" i="17" l="1"/>
  <c r="AW82" i="17"/>
  <c r="Q82" i="17"/>
  <c r="Q96" i="17" s="1"/>
  <c r="BD96" i="17" s="1"/>
  <c r="J96" i="17"/>
  <c r="AW96" i="17" s="1"/>
  <c r="BI94" i="17"/>
  <c r="T61" i="4"/>
  <c r="F94" i="17"/>
  <c r="Q89" i="17" l="1"/>
  <c r="BD89" i="17" s="1"/>
  <c r="BD82" i="17"/>
  <c r="AI61" i="4"/>
  <c r="AM61" i="4" s="1"/>
  <c r="AR94" i="17"/>
  <c r="AG21" i="4" l="1"/>
  <c r="AF21" i="4"/>
  <c r="AE21" i="4"/>
  <c r="AD21" i="4"/>
  <c r="AC21" i="4"/>
  <c r="AB21" i="4"/>
  <c r="D19" i="2"/>
  <c r="O19" i="2"/>
  <c r="T20" i="2"/>
  <c r="K7" i="2" l="1"/>
  <c r="K3" i="2" s="1"/>
  <c r="V20" i="2"/>
  <c r="D531" i="2"/>
  <c r="O531" i="2"/>
  <c r="K533" i="2"/>
  <c r="T534" i="2"/>
  <c r="T535" i="2"/>
  <c r="K536" i="2"/>
  <c r="M7" i="2" l="1"/>
  <c r="K532" i="2"/>
  <c r="T532" i="2"/>
  <c r="Y20" i="2"/>
  <c r="W20" i="2"/>
  <c r="T536" i="2"/>
  <c r="W536" i="2" s="1"/>
  <c r="M536" i="2"/>
  <c r="K534" i="2"/>
  <c r="W534" i="2" s="1"/>
  <c r="T533" i="2"/>
  <c r="K535" i="2"/>
  <c r="V535" i="2"/>
  <c r="V534" i="2"/>
  <c r="M533" i="2"/>
  <c r="W532" i="2" l="1"/>
  <c r="M532" i="2"/>
  <c r="W535" i="2"/>
  <c r="V536" i="2"/>
  <c r="Y536" i="2" s="1"/>
  <c r="M535" i="2"/>
  <c r="Y535" i="2" s="1"/>
  <c r="K531" i="2"/>
  <c r="W533" i="2"/>
  <c r="V533" i="2"/>
  <c r="Y533" i="2" s="1"/>
  <c r="M534" i="2"/>
  <c r="Y534" i="2" s="1"/>
  <c r="T531" i="2"/>
  <c r="V532" i="2"/>
  <c r="W531" i="2" l="1"/>
  <c r="M531" i="2"/>
  <c r="V531" i="2"/>
  <c r="Y532" i="2"/>
  <c r="Y531" i="2" s="1"/>
  <c r="I22" i="8" l="1"/>
  <c r="M22" i="8" s="1"/>
  <c r="I10" i="17" l="1"/>
  <c r="N10" i="17" l="1"/>
  <c r="AK20" i="5"/>
  <c r="M10" i="17" l="1"/>
  <c r="N33" i="17"/>
  <c r="H20" i="7"/>
  <c r="I20" i="7" s="1"/>
  <c r="O10" i="17" l="1"/>
  <c r="L10" i="17" s="1"/>
  <c r="AR11" i="17"/>
  <c r="AR12" i="17"/>
  <c r="AR13" i="17"/>
  <c r="AR14" i="17"/>
  <c r="AR15" i="17"/>
  <c r="AR16" i="17"/>
  <c r="AR17" i="17"/>
  <c r="AR18" i="17"/>
  <c r="AR19" i="17"/>
  <c r="AR20" i="17"/>
  <c r="AR21" i="17"/>
  <c r="AR22" i="17"/>
  <c r="AR23" i="17"/>
  <c r="AR24" i="17"/>
  <c r="AR25" i="17"/>
  <c r="AR26" i="17"/>
  <c r="AR27" i="17"/>
  <c r="AR28" i="17"/>
  <c r="AR29" i="17"/>
  <c r="AO33" i="17"/>
  <c r="AO52" i="17"/>
  <c r="AO51" i="17"/>
  <c r="AO50" i="17"/>
  <c r="AO49" i="17"/>
  <c r="AO48" i="17"/>
  <c r="AO47" i="17"/>
  <c r="AO46" i="17"/>
  <c r="AO45" i="17"/>
  <c r="AO44" i="17"/>
  <c r="AO43" i="17"/>
  <c r="AO42" i="17"/>
  <c r="AO41" i="17"/>
  <c r="AO40" i="17"/>
  <c r="AO39" i="17"/>
  <c r="AO38" i="17"/>
  <c r="AO37" i="17"/>
  <c r="AO36" i="17"/>
  <c r="AO35" i="17"/>
  <c r="AO34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O63" i="17" l="1"/>
  <c r="AO66" i="17"/>
  <c r="AO64" i="17"/>
  <c r="AO62" i="17"/>
  <c r="AO73" i="17"/>
  <c r="AO61" i="17"/>
  <c r="AO67" i="17"/>
  <c r="AO65" i="17"/>
  <c r="AO56" i="17"/>
  <c r="AO75" i="17"/>
  <c r="AO74" i="17"/>
  <c r="AO72" i="17"/>
  <c r="AO60" i="17"/>
  <c r="AO68" i="17"/>
  <c r="AO58" i="17"/>
  <c r="AO71" i="17"/>
  <c r="AO59" i="17"/>
  <c r="AO70" i="17"/>
  <c r="AO69" i="17"/>
  <c r="AO57" i="17"/>
  <c r="AS19" i="17"/>
  <c r="AS29" i="17"/>
  <c r="AS17" i="17"/>
  <c r="AS26" i="17"/>
  <c r="AS22" i="17"/>
  <c r="AS27" i="17"/>
  <c r="AS14" i="17"/>
  <c r="AS24" i="17"/>
  <c r="AS21" i="17"/>
  <c r="AS20" i="17"/>
  <c r="AS16" i="17"/>
  <c r="AS15" i="17"/>
  <c r="AS12" i="17"/>
  <c r="AS28" i="17"/>
  <c r="AS25" i="17"/>
  <c r="AS13" i="17"/>
  <c r="AS23" i="17"/>
  <c r="AS11" i="17"/>
  <c r="AS18" i="17"/>
  <c r="E10" i="17" l="1"/>
  <c r="C56" i="17" l="1"/>
  <c r="F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BO95" i="17" l="1"/>
  <c r="BP95" i="17"/>
  <c r="BQ95" i="17"/>
  <c r="BR95" i="17"/>
  <c r="BV95" i="17"/>
  <c r="BW95" i="17"/>
  <c r="N56" i="17"/>
  <c r="C65" i="17"/>
  <c r="C63" i="17"/>
  <c r="C62" i="17"/>
  <c r="C61" i="17"/>
  <c r="C71" i="17"/>
  <c r="C59" i="17"/>
  <c r="C69" i="17"/>
  <c r="C64" i="17"/>
  <c r="C75" i="17"/>
  <c r="C74" i="17"/>
  <c r="C73" i="17"/>
  <c r="C72" i="17"/>
  <c r="C60" i="17"/>
  <c r="C70" i="17"/>
  <c r="C58" i="17"/>
  <c r="C57" i="17"/>
  <c r="C68" i="17"/>
  <c r="C67" i="17"/>
  <c r="C66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AX91" i="17" l="1"/>
  <c r="AY91" i="17"/>
  <c r="AZ91" i="17"/>
  <c r="BA91" i="17"/>
  <c r="BB91" i="17"/>
  <c r="BC91" i="17"/>
  <c r="BE91" i="17"/>
  <c r="BF91" i="17"/>
  <c r="BG91" i="17"/>
  <c r="AX87" i="17"/>
  <c r="AY87" i="17"/>
  <c r="AZ87" i="17"/>
  <c r="BA87" i="17"/>
  <c r="BB87" i="17"/>
  <c r="BC87" i="17"/>
  <c r="BD87" i="17"/>
  <c r="BE87" i="17"/>
  <c r="BF87" i="17"/>
  <c r="BG87" i="17"/>
  <c r="BH87" i="17"/>
  <c r="AW87" i="17"/>
  <c r="BE88" i="17"/>
  <c r="BF88" i="17"/>
  <c r="BG88" i="17"/>
  <c r="BM98" i="17"/>
  <c r="BN98" i="17"/>
  <c r="BO98" i="17"/>
  <c r="BP98" i="17"/>
  <c r="BQ98" i="17"/>
  <c r="BR98" i="17"/>
  <c r="BS98" i="17"/>
  <c r="BT98" i="17"/>
  <c r="BU98" i="17"/>
  <c r="BV98" i="17"/>
  <c r="BW98" i="17"/>
  <c r="BX98" i="17"/>
  <c r="BL34" i="17"/>
  <c r="BL35" i="17"/>
  <c r="BL36" i="17"/>
  <c r="BL37" i="17"/>
  <c r="BL38" i="17"/>
  <c r="BL39" i="17"/>
  <c r="BL40" i="17"/>
  <c r="BL41" i="17"/>
  <c r="BL42" i="17"/>
  <c r="BL43" i="17"/>
  <c r="BL44" i="17"/>
  <c r="BL45" i="17"/>
  <c r="BL46" i="17"/>
  <c r="BL47" i="17"/>
  <c r="BL48" i="17"/>
  <c r="BL49" i="17"/>
  <c r="BL50" i="17"/>
  <c r="BL51" i="17"/>
  <c r="BL52" i="17"/>
  <c r="BL33" i="17"/>
  <c r="AP11" i="17"/>
  <c r="AQ11" i="17"/>
  <c r="AP12" i="17"/>
  <c r="AQ12" i="17"/>
  <c r="AP13" i="17"/>
  <c r="AQ13" i="17"/>
  <c r="AP14" i="17"/>
  <c r="AQ14" i="17"/>
  <c r="AP15" i="17"/>
  <c r="AQ15" i="17"/>
  <c r="AP16" i="17"/>
  <c r="AQ16" i="17"/>
  <c r="AP17" i="17"/>
  <c r="AQ17" i="17"/>
  <c r="AP18" i="17"/>
  <c r="AQ18" i="17"/>
  <c r="AP19" i="17"/>
  <c r="AQ19" i="17"/>
  <c r="AP20" i="17"/>
  <c r="AQ20" i="17"/>
  <c r="AP21" i="17"/>
  <c r="AQ21" i="17"/>
  <c r="AP22" i="17"/>
  <c r="AQ22" i="17"/>
  <c r="AP23" i="17"/>
  <c r="AQ23" i="17"/>
  <c r="AP24" i="17"/>
  <c r="AQ24" i="17"/>
  <c r="AP25" i="17"/>
  <c r="AQ25" i="17"/>
  <c r="AP26" i="17"/>
  <c r="AQ26" i="17"/>
  <c r="AP27" i="17"/>
  <c r="AQ27" i="17"/>
  <c r="AP28" i="17"/>
  <c r="AQ28" i="17"/>
  <c r="AP29" i="17"/>
  <c r="AQ29" i="17"/>
  <c r="AQ10" i="17"/>
  <c r="BP11" i="17"/>
  <c r="BQ11" i="17"/>
  <c r="BR11" i="17"/>
  <c r="BP12" i="17"/>
  <c r="BQ12" i="17"/>
  <c r="BR12" i="17"/>
  <c r="BP13" i="17"/>
  <c r="BQ13" i="17"/>
  <c r="BR13" i="17"/>
  <c r="BP14" i="17"/>
  <c r="BQ14" i="17"/>
  <c r="BR14" i="17"/>
  <c r="BP15" i="17"/>
  <c r="BQ15" i="17"/>
  <c r="BR15" i="17"/>
  <c r="BP16" i="17"/>
  <c r="BQ16" i="17"/>
  <c r="BR16" i="17"/>
  <c r="BP17" i="17"/>
  <c r="BQ17" i="17"/>
  <c r="BR17" i="17"/>
  <c r="BP18" i="17"/>
  <c r="BQ18" i="17"/>
  <c r="BR18" i="17"/>
  <c r="BP19" i="17"/>
  <c r="BQ19" i="17"/>
  <c r="BR19" i="17"/>
  <c r="BP20" i="17"/>
  <c r="BQ20" i="17"/>
  <c r="BR20" i="17"/>
  <c r="BP21" i="17"/>
  <c r="BQ21" i="17"/>
  <c r="BR21" i="17"/>
  <c r="BP22" i="17"/>
  <c r="BQ22" i="17"/>
  <c r="BR22" i="17"/>
  <c r="BP23" i="17"/>
  <c r="BQ23" i="17"/>
  <c r="BR23" i="17"/>
  <c r="BP24" i="17"/>
  <c r="BQ24" i="17"/>
  <c r="BR24" i="17"/>
  <c r="BP25" i="17"/>
  <c r="BQ25" i="17"/>
  <c r="BR25" i="17"/>
  <c r="BP26" i="17"/>
  <c r="BQ26" i="17"/>
  <c r="BR26" i="17"/>
  <c r="BP27" i="17"/>
  <c r="BQ27" i="17"/>
  <c r="BR27" i="17"/>
  <c r="BP28" i="17"/>
  <c r="BQ28" i="17"/>
  <c r="BR28" i="17"/>
  <c r="BP29" i="17"/>
  <c r="BQ29" i="17"/>
  <c r="BR29" i="17"/>
  <c r="BP10" i="17"/>
  <c r="BQ10" i="17"/>
  <c r="BR10" i="17"/>
  <c r="BF11" i="17"/>
  <c r="BG11" i="17"/>
  <c r="BF12" i="17"/>
  <c r="BG12" i="17"/>
  <c r="BF13" i="17"/>
  <c r="BG13" i="17"/>
  <c r="BF14" i="17"/>
  <c r="BG14" i="17"/>
  <c r="BF15" i="17"/>
  <c r="BG15" i="17"/>
  <c r="BF16" i="17"/>
  <c r="BG16" i="17"/>
  <c r="BF17" i="17"/>
  <c r="BG17" i="17"/>
  <c r="BF18" i="17"/>
  <c r="BG18" i="17"/>
  <c r="BF19" i="17"/>
  <c r="BG19" i="17"/>
  <c r="BF20" i="17"/>
  <c r="BG20" i="17"/>
  <c r="BF21" i="17"/>
  <c r="BG21" i="17"/>
  <c r="BF22" i="17"/>
  <c r="BG22" i="17"/>
  <c r="BF23" i="17"/>
  <c r="BG23" i="17"/>
  <c r="BF24" i="17"/>
  <c r="BG24" i="17"/>
  <c r="BF25" i="17"/>
  <c r="BG25" i="17"/>
  <c r="BF26" i="17"/>
  <c r="BG26" i="17"/>
  <c r="BF27" i="17"/>
  <c r="BG27" i="17"/>
  <c r="BF28" i="17"/>
  <c r="BG28" i="17"/>
  <c r="BF29" i="17"/>
  <c r="BG29" i="17"/>
  <c r="BF10" i="17"/>
  <c r="BG10" i="17"/>
  <c r="BG33" i="17" l="1"/>
  <c r="BF33" i="17"/>
  <c r="BP56" i="17"/>
  <c r="BQ56" i="17"/>
  <c r="BR56" i="17"/>
  <c r="BG56" i="17"/>
  <c r="BF56" i="17"/>
  <c r="BP47" i="17"/>
  <c r="BP70" i="17"/>
  <c r="BQ47" i="17"/>
  <c r="BQ70" i="17"/>
  <c r="BR47" i="17"/>
  <c r="BR70" i="17"/>
  <c r="BF47" i="17"/>
  <c r="BG47" i="17"/>
  <c r="BF70" i="17"/>
  <c r="BG70" i="17"/>
  <c r="BF52" i="17"/>
  <c r="BP52" i="17"/>
  <c r="BP75" i="17"/>
  <c r="BQ52" i="17"/>
  <c r="BQ75" i="17"/>
  <c r="BR52" i="17"/>
  <c r="BR75" i="17"/>
  <c r="BG52" i="17"/>
  <c r="BF75" i="17"/>
  <c r="BG75" i="17"/>
  <c r="BF39" i="17"/>
  <c r="BP39" i="17"/>
  <c r="BP62" i="17"/>
  <c r="BQ39" i="17"/>
  <c r="BQ62" i="17"/>
  <c r="BR39" i="17"/>
  <c r="BR62" i="17"/>
  <c r="BG39" i="17"/>
  <c r="BF62" i="17"/>
  <c r="BG62" i="17"/>
  <c r="BP38" i="17"/>
  <c r="BP61" i="17"/>
  <c r="BQ38" i="17"/>
  <c r="BQ61" i="17"/>
  <c r="BR38" i="17"/>
  <c r="BR61" i="17"/>
  <c r="BF38" i="17"/>
  <c r="BG38" i="17"/>
  <c r="BF61" i="17"/>
  <c r="BG61" i="17"/>
  <c r="BP44" i="17"/>
  <c r="BP67" i="17"/>
  <c r="BQ44" i="17"/>
  <c r="BF44" i="17"/>
  <c r="BQ67" i="17"/>
  <c r="BR44" i="17"/>
  <c r="BR67" i="17"/>
  <c r="BG44" i="17"/>
  <c r="BF67" i="17"/>
  <c r="BG67" i="17"/>
  <c r="BP49" i="17"/>
  <c r="BP72" i="17"/>
  <c r="BQ49" i="17"/>
  <c r="BQ72" i="17"/>
  <c r="BR49" i="17"/>
  <c r="BF49" i="17"/>
  <c r="BR72" i="17"/>
  <c r="BG49" i="17"/>
  <c r="BF72" i="17"/>
  <c r="BG72" i="17"/>
  <c r="BP43" i="17"/>
  <c r="BP66" i="17"/>
  <c r="BQ43" i="17"/>
  <c r="BQ66" i="17"/>
  <c r="BR43" i="17"/>
  <c r="BR66" i="17"/>
  <c r="BF43" i="17"/>
  <c r="BG43" i="17"/>
  <c r="BF66" i="17"/>
  <c r="BG66" i="17"/>
  <c r="BP48" i="17"/>
  <c r="BP71" i="17"/>
  <c r="BQ48" i="17"/>
  <c r="BQ71" i="17"/>
  <c r="BR48" i="17"/>
  <c r="BR71" i="17"/>
  <c r="BF48" i="17"/>
  <c r="BG48" i="17"/>
  <c r="BF71" i="17"/>
  <c r="BG71" i="17"/>
  <c r="BP42" i="17"/>
  <c r="BP65" i="17"/>
  <c r="BQ42" i="17"/>
  <c r="BQ65" i="17"/>
  <c r="BR42" i="17"/>
  <c r="BR65" i="17"/>
  <c r="BF42" i="17"/>
  <c r="BG42" i="17"/>
  <c r="BF65" i="17"/>
  <c r="BG65" i="17"/>
  <c r="BP34" i="17"/>
  <c r="BP57" i="17"/>
  <c r="BQ34" i="17"/>
  <c r="BQ57" i="17"/>
  <c r="BR34" i="17"/>
  <c r="BR57" i="17"/>
  <c r="BF34" i="17"/>
  <c r="BG34" i="17"/>
  <c r="BF57" i="17"/>
  <c r="BG57" i="17"/>
  <c r="BR33" i="17"/>
  <c r="BP33" i="17"/>
  <c r="BQ33" i="17"/>
  <c r="BP37" i="17"/>
  <c r="BP60" i="17"/>
  <c r="BQ60" i="17"/>
  <c r="BR37" i="17"/>
  <c r="BF37" i="17"/>
  <c r="BG37" i="17"/>
  <c r="BR60" i="17"/>
  <c r="BF60" i="17"/>
  <c r="BG60" i="17"/>
  <c r="BQ37" i="17"/>
  <c r="Y33" i="17"/>
  <c r="AC33" i="17" l="1"/>
  <c r="AD33" i="17"/>
  <c r="AE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AV10" i="17"/>
  <c r="AD44" i="17" l="1"/>
  <c r="AE44" i="17"/>
  <c r="AC44" i="17"/>
  <c r="AD43" i="17"/>
  <c r="AE43" i="17"/>
  <c r="AC43" i="17"/>
  <c r="AC45" i="17"/>
  <c r="AD45" i="17"/>
  <c r="AE45" i="17"/>
  <c r="AC42" i="17"/>
  <c r="AD42" i="17"/>
  <c r="AE42" i="17"/>
  <c r="AC41" i="17"/>
  <c r="AD41" i="17"/>
  <c r="AE41" i="17"/>
  <c r="AC52" i="17"/>
  <c r="AD52" i="17"/>
  <c r="AE52" i="17"/>
  <c r="AC40" i="17"/>
  <c r="AD40" i="17"/>
  <c r="AE40" i="17"/>
  <c r="AC51" i="17"/>
  <c r="AD51" i="17"/>
  <c r="AE51" i="17"/>
  <c r="AD39" i="17"/>
  <c r="AE39" i="17"/>
  <c r="AC39" i="17"/>
  <c r="AC50" i="17"/>
  <c r="AE50" i="17"/>
  <c r="AD50" i="17"/>
  <c r="AD38" i="17"/>
  <c r="AE38" i="17"/>
  <c r="AC38" i="17"/>
  <c r="AD49" i="17"/>
  <c r="AE49" i="17"/>
  <c r="AC49" i="17"/>
  <c r="AD37" i="17"/>
  <c r="AE37" i="17"/>
  <c r="AC37" i="17"/>
  <c r="AC48" i="17"/>
  <c r="AD48" i="17"/>
  <c r="AE48" i="17"/>
  <c r="AC36" i="17"/>
  <c r="AD36" i="17"/>
  <c r="AE36" i="17"/>
  <c r="AC47" i="17"/>
  <c r="AD47" i="17"/>
  <c r="AE47" i="17"/>
  <c r="AD35" i="17"/>
  <c r="AC35" i="17"/>
  <c r="AE35" i="17"/>
  <c r="AC46" i="17"/>
  <c r="AD46" i="17"/>
  <c r="AE46" i="17"/>
  <c r="AC34" i="17"/>
  <c r="AD34" i="17"/>
  <c r="AE34" i="17"/>
  <c r="Y11" i="17"/>
  <c r="BL11" i="17" s="1"/>
  <c r="Y12" i="17"/>
  <c r="BL12" i="17" s="1"/>
  <c r="Y13" i="17"/>
  <c r="BL13" i="17" s="1"/>
  <c r="Y14" i="17"/>
  <c r="BL14" i="17" s="1"/>
  <c r="Y15" i="17"/>
  <c r="BL15" i="17" s="1"/>
  <c r="Y16" i="17"/>
  <c r="BL16" i="17" s="1"/>
  <c r="Y17" i="17"/>
  <c r="BL17" i="17" s="1"/>
  <c r="Y18" i="17"/>
  <c r="BL18" i="17" s="1"/>
  <c r="Y19" i="17"/>
  <c r="BL19" i="17" s="1"/>
  <c r="Y20" i="17"/>
  <c r="BL20" i="17" s="1"/>
  <c r="Y21" i="17"/>
  <c r="BL21" i="17" s="1"/>
  <c r="Y22" i="17"/>
  <c r="BL22" i="17" s="1"/>
  <c r="Y23" i="17"/>
  <c r="BL23" i="17" s="1"/>
  <c r="Y24" i="17"/>
  <c r="BL24" i="17" s="1"/>
  <c r="Y25" i="17"/>
  <c r="BL25" i="17" s="1"/>
  <c r="Y26" i="17"/>
  <c r="BL26" i="17" s="1"/>
  <c r="Y27" i="17"/>
  <c r="BL27" i="17" s="1"/>
  <c r="Y28" i="17"/>
  <c r="BL28" i="17" s="1"/>
  <c r="Y29" i="17"/>
  <c r="BL29" i="17" s="1"/>
  <c r="I11" i="17"/>
  <c r="AV11" i="17" s="1"/>
  <c r="I12" i="17"/>
  <c r="AV12" i="17" s="1"/>
  <c r="I13" i="17"/>
  <c r="AV13" i="17" s="1"/>
  <c r="I14" i="17"/>
  <c r="AV14" i="17" s="1"/>
  <c r="I15" i="17"/>
  <c r="AV15" i="17" s="1"/>
  <c r="I16" i="17"/>
  <c r="AV16" i="17" s="1"/>
  <c r="I17" i="17"/>
  <c r="AV17" i="17" s="1"/>
  <c r="I18" i="17"/>
  <c r="AV18" i="17" s="1"/>
  <c r="I19" i="17"/>
  <c r="AV19" i="17" s="1"/>
  <c r="I20" i="17"/>
  <c r="AV20" i="17" s="1"/>
  <c r="I21" i="17"/>
  <c r="AV21" i="17" s="1"/>
  <c r="I22" i="17"/>
  <c r="AV22" i="17" s="1"/>
  <c r="I23" i="17"/>
  <c r="AV23" i="17" s="1"/>
  <c r="I24" i="17"/>
  <c r="AV24" i="17" s="1"/>
  <c r="I25" i="17"/>
  <c r="AV25" i="17" s="1"/>
  <c r="I26" i="17"/>
  <c r="AV26" i="17" s="1"/>
  <c r="I27" i="17"/>
  <c r="AV27" i="17" s="1"/>
  <c r="I28" i="17"/>
  <c r="AV28" i="17" s="1"/>
  <c r="I29" i="17"/>
  <c r="AV29" i="17" s="1"/>
  <c r="Y10" i="17"/>
  <c r="BL10" i="17" l="1"/>
  <c r="AO10" i="17" l="1"/>
  <c r="AC63" i="17"/>
  <c r="BP63" i="17" s="1"/>
  <c r="AD63" i="17"/>
  <c r="BQ63" i="17" s="1"/>
  <c r="AE63" i="17"/>
  <c r="BR63" i="17" s="1"/>
  <c r="AC75" i="17"/>
  <c r="AD75" i="17"/>
  <c r="AE75" i="17"/>
  <c r="AC64" i="17"/>
  <c r="BP64" i="17" s="1"/>
  <c r="AD64" i="17"/>
  <c r="BQ64" i="17" s="1"/>
  <c r="AE64" i="17"/>
  <c r="BR64" i="17" s="1"/>
  <c r="AC65" i="17"/>
  <c r="AD65" i="17"/>
  <c r="AE65" i="17"/>
  <c r="AC66" i="17"/>
  <c r="AD66" i="17"/>
  <c r="AE66" i="17"/>
  <c r="AC67" i="17"/>
  <c r="AD67" i="17"/>
  <c r="AE67" i="17"/>
  <c r="AC56" i="17"/>
  <c r="AD56" i="17"/>
  <c r="AE56" i="17"/>
  <c r="AC68" i="17"/>
  <c r="BP68" i="17" s="1"/>
  <c r="AD68" i="17"/>
  <c r="BQ68" i="17" s="1"/>
  <c r="AE68" i="17"/>
  <c r="BR68" i="17" s="1"/>
  <c r="AC57" i="17"/>
  <c r="AD57" i="17"/>
  <c r="AE57" i="17"/>
  <c r="AC69" i="17"/>
  <c r="BP69" i="17" s="1"/>
  <c r="AD69" i="17"/>
  <c r="BQ69" i="17" s="1"/>
  <c r="AE69" i="17"/>
  <c r="BR69" i="17" s="1"/>
  <c r="AC58" i="17"/>
  <c r="BP58" i="17" s="1"/>
  <c r="AD58" i="17"/>
  <c r="BQ58" i="17" s="1"/>
  <c r="AE58" i="17"/>
  <c r="BR58" i="17" s="1"/>
  <c r="AC70" i="17"/>
  <c r="AD70" i="17"/>
  <c r="AE70" i="17"/>
  <c r="AC59" i="17"/>
  <c r="BP59" i="17" s="1"/>
  <c r="AD59" i="17"/>
  <c r="BQ59" i="17" s="1"/>
  <c r="AE59" i="17"/>
  <c r="BR59" i="17" s="1"/>
  <c r="AC71" i="17"/>
  <c r="AD71" i="17"/>
  <c r="AE71" i="17"/>
  <c r="AC60" i="17"/>
  <c r="AD60" i="17"/>
  <c r="AE60" i="17"/>
  <c r="AC72" i="17"/>
  <c r="AD72" i="17"/>
  <c r="AE72" i="17"/>
  <c r="AC61" i="17"/>
  <c r="AD61" i="17"/>
  <c r="AE61" i="17"/>
  <c r="AC73" i="17"/>
  <c r="BP73" i="17" s="1"/>
  <c r="AD73" i="17"/>
  <c r="BQ73" i="17" s="1"/>
  <c r="AE73" i="17"/>
  <c r="BR73" i="17" s="1"/>
  <c r="AC62" i="17"/>
  <c r="AD62" i="17"/>
  <c r="AE62" i="17"/>
  <c r="AC74" i="17"/>
  <c r="BP74" i="17" s="1"/>
  <c r="AD74" i="17"/>
  <c r="BQ74" i="17" s="1"/>
  <c r="AE74" i="17"/>
  <c r="BR74" i="17" s="1"/>
  <c r="AO20" i="17"/>
  <c r="AO21" i="17"/>
  <c r="AO11" i="17"/>
  <c r="AO12" i="17"/>
  <c r="AO19" i="17"/>
  <c r="AO22" i="17"/>
  <c r="AO23" i="17"/>
  <c r="AO24" i="17"/>
  <c r="AO15" i="17"/>
  <c r="AO27" i="17"/>
  <c r="AO16" i="17"/>
  <c r="AO28" i="17"/>
  <c r="AO26" i="17"/>
  <c r="AO29" i="17"/>
  <c r="AO13" i="17"/>
  <c r="AO25" i="17"/>
  <c r="AO14" i="17"/>
  <c r="AO17" i="17"/>
  <c r="AO18" i="17"/>
  <c r="T64" i="17"/>
  <c r="BG64" i="17" s="1"/>
  <c r="BP41" i="17"/>
  <c r="BQ41" i="17"/>
  <c r="BR41" i="17"/>
  <c r="S64" i="17"/>
  <c r="BF64" i="17" s="1"/>
  <c r="T65" i="17"/>
  <c r="S65" i="17"/>
  <c r="T66" i="17"/>
  <c r="S66" i="17"/>
  <c r="T67" i="17"/>
  <c r="S67" i="17"/>
  <c r="S56" i="17"/>
  <c r="T56" i="17"/>
  <c r="T68" i="17"/>
  <c r="BG68" i="17" s="1"/>
  <c r="BP45" i="17"/>
  <c r="BR45" i="17"/>
  <c r="BQ45" i="17"/>
  <c r="S68" i="17"/>
  <c r="BF68" i="17" s="1"/>
  <c r="T57" i="17"/>
  <c r="S57" i="17"/>
  <c r="T69" i="17"/>
  <c r="BG69" i="17" s="1"/>
  <c r="BP46" i="17"/>
  <c r="S69" i="17"/>
  <c r="BF69" i="17" s="1"/>
  <c r="BR46" i="17"/>
  <c r="BQ46" i="17"/>
  <c r="T58" i="17"/>
  <c r="BG58" i="17" s="1"/>
  <c r="S58" i="17"/>
  <c r="BF58" i="17" s="1"/>
  <c r="BP35" i="17"/>
  <c r="BR35" i="17"/>
  <c r="BQ35" i="17"/>
  <c r="T70" i="17"/>
  <c r="S70" i="17"/>
  <c r="T59" i="17"/>
  <c r="BG59" i="17" s="1"/>
  <c r="BP36" i="17"/>
  <c r="BQ36" i="17"/>
  <c r="BR36" i="17"/>
  <c r="S59" i="17"/>
  <c r="BF59" i="17" s="1"/>
  <c r="T71" i="17"/>
  <c r="S71" i="17"/>
  <c r="T60" i="17"/>
  <c r="S60" i="17"/>
  <c r="T72" i="17"/>
  <c r="S72" i="17"/>
  <c r="T61" i="17"/>
  <c r="S61" i="17"/>
  <c r="T73" i="17"/>
  <c r="BG73" i="17" s="1"/>
  <c r="S73" i="17"/>
  <c r="BF73" i="17" s="1"/>
  <c r="BP50" i="17"/>
  <c r="BQ50" i="17"/>
  <c r="BR50" i="17"/>
  <c r="T62" i="17"/>
  <c r="S62" i="17"/>
  <c r="T74" i="17"/>
  <c r="BG74" i="17" s="1"/>
  <c r="S74" i="17"/>
  <c r="BF74" i="17" s="1"/>
  <c r="BP51" i="17"/>
  <c r="BQ51" i="17"/>
  <c r="BR51" i="17"/>
  <c r="T63" i="17"/>
  <c r="BG63" i="17" s="1"/>
  <c r="BP40" i="17"/>
  <c r="S63" i="17"/>
  <c r="BF63" i="17" s="1"/>
  <c r="BQ40" i="17"/>
  <c r="BR40" i="17"/>
  <c r="T75" i="17"/>
  <c r="S75" i="17"/>
  <c r="S52" i="17"/>
  <c r="T52" i="17"/>
  <c r="S43" i="17"/>
  <c r="T43" i="17"/>
  <c r="T33" i="17"/>
  <c r="S45" i="17"/>
  <c r="BF45" i="17" s="1"/>
  <c r="T45" i="17"/>
  <c r="BG45" i="17" s="1"/>
  <c r="S34" i="17"/>
  <c r="T34" i="17"/>
  <c r="S46" i="17"/>
  <c r="BF46" i="17" s="1"/>
  <c r="T46" i="17"/>
  <c r="BG46" i="17" s="1"/>
  <c r="S35" i="17"/>
  <c r="BF35" i="17" s="1"/>
  <c r="T35" i="17"/>
  <c r="BG35" i="17" s="1"/>
  <c r="S47" i="17"/>
  <c r="T47" i="17"/>
  <c r="S36" i="17"/>
  <c r="BF36" i="17" s="1"/>
  <c r="T36" i="17"/>
  <c r="BG36" i="17" s="1"/>
  <c r="S48" i="17"/>
  <c r="T48" i="17"/>
  <c r="S42" i="17"/>
  <c r="T42" i="17"/>
  <c r="T50" i="17"/>
  <c r="BG50" i="17" s="1"/>
  <c r="S50" i="17"/>
  <c r="BF50" i="17" s="1"/>
  <c r="S40" i="17"/>
  <c r="BF40" i="17" s="1"/>
  <c r="T40" i="17"/>
  <c r="BG40" i="17" s="1"/>
  <c r="S41" i="17"/>
  <c r="BF41" i="17" s="1"/>
  <c r="T41" i="17"/>
  <c r="BG41" i="17" s="1"/>
  <c r="S44" i="17"/>
  <c r="T44" i="17"/>
  <c r="S37" i="17"/>
  <c r="T37" i="17"/>
  <c r="S49" i="17"/>
  <c r="T49" i="17"/>
  <c r="S38" i="17"/>
  <c r="T38" i="17"/>
  <c r="T39" i="17"/>
  <c r="S39" i="17"/>
  <c r="S51" i="17"/>
  <c r="BF51" i="17" s="1"/>
  <c r="T51" i="17"/>
  <c r="BG51" i="17" s="1"/>
  <c r="AI29" i="17"/>
  <c r="AI19" i="17"/>
  <c r="AI22" i="17"/>
  <c r="AI23" i="17"/>
  <c r="AI12" i="17"/>
  <c r="AI25" i="17"/>
  <c r="AI17" i="17"/>
  <c r="AI18" i="17"/>
  <c r="AI20" i="17"/>
  <c r="AI21" i="17"/>
  <c r="AI10" i="17"/>
  <c r="AI11" i="17"/>
  <c r="AI24" i="17"/>
  <c r="AI13" i="17"/>
  <c r="AI14" i="17"/>
  <c r="AI26" i="17"/>
  <c r="AI15" i="17"/>
  <c r="AI27" i="17"/>
  <c r="AI16" i="17"/>
  <c r="AI28" i="17"/>
  <c r="AI62" i="17" l="1"/>
  <c r="AI39" i="17"/>
  <c r="AI63" i="17"/>
  <c r="AI40" i="17"/>
  <c r="AI73" i="17"/>
  <c r="AI50" i="17"/>
  <c r="AI71" i="17"/>
  <c r="AI48" i="17"/>
  <c r="AI61" i="17"/>
  <c r="AI38" i="17"/>
  <c r="AI58" i="17"/>
  <c r="AI35" i="17"/>
  <c r="AI72" i="17"/>
  <c r="AI49" i="17"/>
  <c r="BV23" i="17"/>
  <c r="BV46" i="17" s="1"/>
  <c r="AI46" i="17"/>
  <c r="AI60" i="17"/>
  <c r="AI37" i="17"/>
  <c r="AI68" i="17"/>
  <c r="AI45" i="17"/>
  <c r="BV20" i="17"/>
  <c r="BV43" i="17" s="1"/>
  <c r="AI43" i="17"/>
  <c r="AI74" i="17"/>
  <c r="AI51" i="17"/>
  <c r="AI64" i="17"/>
  <c r="AI41" i="17"/>
  <c r="AI59" i="17"/>
  <c r="AI36" i="17"/>
  <c r="BV19" i="17"/>
  <c r="BV65" i="17" s="1"/>
  <c r="AI42" i="17"/>
  <c r="AI70" i="17"/>
  <c r="AI47" i="17"/>
  <c r="AI75" i="17"/>
  <c r="AI52" i="17"/>
  <c r="AI57" i="17"/>
  <c r="AI34" i="17"/>
  <c r="AI56" i="17"/>
  <c r="AI33" i="17"/>
  <c r="BV21" i="17"/>
  <c r="BV67" i="17" s="1"/>
  <c r="AI44" i="17"/>
  <c r="BV42" i="17"/>
  <c r="AI65" i="17"/>
  <c r="AI67" i="17"/>
  <c r="AI66" i="17"/>
  <c r="AI69" i="17"/>
  <c r="BV28" i="17"/>
  <c r="BV14" i="17"/>
  <c r="BV26" i="17"/>
  <c r="BV11" i="17"/>
  <c r="BV17" i="17"/>
  <c r="BV10" i="17"/>
  <c r="BV25" i="17"/>
  <c r="BV29" i="17"/>
  <c r="BV16" i="17"/>
  <c r="BV12" i="17"/>
  <c r="BV13" i="17"/>
  <c r="BV24" i="17"/>
  <c r="BV15" i="17"/>
  <c r="BV22" i="17"/>
  <c r="BV27" i="17"/>
  <c r="BV18" i="17"/>
  <c r="AJ11" i="17"/>
  <c r="AJ34" i="17" s="1"/>
  <c r="AJ20" i="17"/>
  <c r="AJ43" i="17" s="1"/>
  <c r="AJ27" i="17"/>
  <c r="AJ50" i="17" s="1"/>
  <c r="AJ18" i="17"/>
  <c r="AJ41" i="17" s="1"/>
  <c r="AJ15" i="17"/>
  <c r="AJ38" i="17" s="1"/>
  <c r="AJ22" i="17"/>
  <c r="AJ19" i="17"/>
  <c r="AJ42" i="17" s="1"/>
  <c r="AJ28" i="17"/>
  <c r="AJ51" i="17" s="1"/>
  <c r="AJ26" i="17"/>
  <c r="AJ49" i="17" s="1"/>
  <c r="AJ25" i="17"/>
  <c r="AJ48" i="17" s="1"/>
  <c r="AJ29" i="17"/>
  <c r="AJ52" i="17" s="1"/>
  <c r="AJ23" i="17"/>
  <c r="AJ17" i="17"/>
  <c r="AJ40" i="17" s="1"/>
  <c r="AJ14" i="17"/>
  <c r="AJ37" i="17" s="1"/>
  <c r="AJ16" i="17"/>
  <c r="AJ39" i="17" s="1"/>
  <c r="AJ12" i="17"/>
  <c r="AJ35" i="17" s="1"/>
  <c r="AJ24" i="17"/>
  <c r="AJ47" i="17" s="1"/>
  <c r="AJ10" i="17"/>
  <c r="AJ13" i="17"/>
  <c r="AJ36" i="17" s="1"/>
  <c r="N15" i="17"/>
  <c r="N21" i="17"/>
  <c r="N27" i="17"/>
  <c r="N19" i="17"/>
  <c r="N29" i="17"/>
  <c r="N23" i="17"/>
  <c r="N17" i="17"/>
  <c r="AJ21" i="17"/>
  <c r="AJ44" i="17" s="1"/>
  <c r="N25" i="17"/>
  <c r="BV44" i="17" l="1"/>
  <c r="AJ69" i="17"/>
  <c r="AJ46" i="17"/>
  <c r="BV66" i="17"/>
  <c r="BV69" i="17"/>
  <c r="AJ56" i="17"/>
  <c r="AJ33" i="17"/>
  <c r="AJ68" i="17"/>
  <c r="AJ45" i="17"/>
  <c r="BV62" i="17"/>
  <c r="BV39" i="17"/>
  <c r="BV48" i="17"/>
  <c r="BV71" i="17"/>
  <c r="BV52" i="17"/>
  <c r="BV75" i="17"/>
  <c r="BV45" i="17"/>
  <c r="BV68" i="17"/>
  <c r="BV63" i="17"/>
  <c r="BV40" i="17"/>
  <c r="BV73" i="17"/>
  <c r="BV50" i="17"/>
  <c r="BV41" i="17"/>
  <c r="BV64" i="17"/>
  <c r="BV38" i="17"/>
  <c r="BV61" i="17"/>
  <c r="BV47" i="17"/>
  <c r="BV70" i="17"/>
  <c r="BV49" i="17"/>
  <c r="BV72" i="17"/>
  <c r="BV74" i="17"/>
  <c r="BV51" i="17"/>
  <c r="BV56" i="17"/>
  <c r="BV33" i="17"/>
  <c r="BV57" i="17"/>
  <c r="BV34" i="17"/>
  <c r="BV36" i="17"/>
  <c r="BV59" i="17"/>
  <c r="BV60" i="17"/>
  <c r="BV37" i="17"/>
  <c r="BV58" i="17"/>
  <c r="BV35" i="17"/>
  <c r="BA23" i="17"/>
  <c r="M23" i="17"/>
  <c r="O23" i="17" s="1"/>
  <c r="BB23" i="17" s="1"/>
  <c r="BA19" i="17"/>
  <c r="M19" i="17"/>
  <c r="O19" i="17" s="1"/>
  <c r="BB19" i="17" s="1"/>
  <c r="BA27" i="17"/>
  <c r="M27" i="17"/>
  <c r="O27" i="17" s="1"/>
  <c r="BB27" i="17" s="1"/>
  <c r="BA15" i="17"/>
  <c r="M15" i="17"/>
  <c r="O15" i="17" s="1"/>
  <c r="BB15" i="17" s="1"/>
  <c r="BA17" i="17"/>
  <c r="M17" i="17"/>
  <c r="O17" i="17" s="1"/>
  <c r="BB17" i="17" s="1"/>
  <c r="BA21" i="17"/>
  <c r="M21" i="17"/>
  <c r="O21" i="17" s="1"/>
  <c r="BB21" i="17" s="1"/>
  <c r="BA29" i="17"/>
  <c r="M29" i="17"/>
  <c r="O29" i="17" s="1"/>
  <c r="BB29" i="17" s="1"/>
  <c r="BA25" i="17"/>
  <c r="M25" i="17"/>
  <c r="O25" i="17" s="1"/>
  <c r="BB25" i="17" s="1"/>
  <c r="BW13" i="17"/>
  <c r="AJ59" i="17"/>
  <c r="BW26" i="17"/>
  <c r="AJ72" i="17"/>
  <c r="BW24" i="17"/>
  <c r="AJ70" i="17"/>
  <c r="BW12" i="17"/>
  <c r="AJ58" i="17"/>
  <c r="BW25" i="17"/>
  <c r="AJ71" i="17"/>
  <c r="BW28" i="17"/>
  <c r="AJ74" i="17"/>
  <c r="BW19" i="17"/>
  <c r="AJ65" i="17"/>
  <c r="BW21" i="17"/>
  <c r="AJ67" i="17"/>
  <c r="BW16" i="17"/>
  <c r="AJ62" i="17"/>
  <c r="BW15" i="17"/>
  <c r="AJ61" i="17"/>
  <c r="BW14" i="17"/>
  <c r="AJ60" i="17"/>
  <c r="BW18" i="17"/>
  <c r="AJ64" i="17"/>
  <c r="BW17" i="17"/>
  <c r="AJ63" i="17"/>
  <c r="BW27" i="17"/>
  <c r="AJ73" i="17"/>
  <c r="BW11" i="17"/>
  <c r="AJ57" i="17"/>
  <c r="BW29" i="17"/>
  <c r="AJ75" i="17"/>
  <c r="BW20" i="17"/>
  <c r="AJ66" i="17"/>
  <c r="N28" i="17"/>
  <c r="N18" i="17"/>
  <c r="M18" i="17" s="1"/>
  <c r="M64" i="17" s="1"/>
  <c r="N22" i="17"/>
  <c r="N24" i="17"/>
  <c r="M24" i="17" s="1"/>
  <c r="M70" i="17" s="1"/>
  <c r="N26" i="17"/>
  <c r="N20" i="17"/>
  <c r="N16" i="17"/>
  <c r="BW22" i="17"/>
  <c r="BW10" i="17"/>
  <c r="BW23" i="17"/>
  <c r="N73" i="17"/>
  <c r="N67" i="17"/>
  <c r="N71" i="17"/>
  <c r="N63" i="17"/>
  <c r="N65" i="17"/>
  <c r="N69" i="17"/>
  <c r="N61" i="17"/>
  <c r="N75" i="17"/>
  <c r="N38" i="17"/>
  <c r="N50" i="17"/>
  <c r="N40" i="17"/>
  <c r="N46" i="17"/>
  <c r="N48" i="17"/>
  <c r="N42" i="17"/>
  <c r="N52" i="17"/>
  <c r="N44" i="17"/>
  <c r="BB48" i="17" l="1"/>
  <c r="BB71" i="17"/>
  <c r="BB42" i="17"/>
  <c r="BB65" i="17"/>
  <c r="BW41" i="17"/>
  <c r="BW64" i="17"/>
  <c r="BW51" i="17"/>
  <c r="BW74" i="17"/>
  <c r="BA48" i="17"/>
  <c r="BA71" i="17"/>
  <c r="BA65" i="17"/>
  <c r="BA42" i="17"/>
  <c r="BB38" i="17"/>
  <c r="BB61" i="17"/>
  <c r="BA52" i="17"/>
  <c r="BA75" i="17"/>
  <c r="BB52" i="17"/>
  <c r="BB75" i="17"/>
  <c r="BW46" i="17"/>
  <c r="BW69" i="17"/>
  <c r="BA67" i="17"/>
  <c r="BA44" i="17"/>
  <c r="BA46" i="17"/>
  <c r="BA69" i="17"/>
  <c r="BW66" i="17"/>
  <c r="BW43" i="17"/>
  <c r="BW71" i="17"/>
  <c r="BW48" i="17"/>
  <c r="BB67" i="17"/>
  <c r="BB44" i="17"/>
  <c r="BW52" i="17"/>
  <c r="BW75" i="17"/>
  <c r="BW38" i="17"/>
  <c r="BW61" i="17"/>
  <c r="BW68" i="17"/>
  <c r="BW45" i="17"/>
  <c r="BW39" i="17"/>
  <c r="BW62" i="17"/>
  <c r="BW47" i="17"/>
  <c r="BW70" i="17"/>
  <c r="BA63" i="17"/>
  <c r="BA40" i="17"/>
  <c r="BW73" i="17"/>
  <c r="BW50" i="17"/>
  <c r="BW44" i="17"/>
  <c r="BW67" i="17"/>
  <c r="BW72" i="17"/>
  <c r="BW49" i="17"/>
  <c r="BA38" i="17"/>
  <c r="BA61" i="17"/>
  <c r="BW63" i="17"/>
  <c r="BW40" i="17"/>
  <c r="BW65" i="17"/>
  <c r="BW42" i="17"/>
  <c r="BA73" i="17"/>
  <c r="BA50" i="17"/>
  <c r="BW60" i="17"/>
  <c r="BW37" i="17"/>
  <c r="BW56" i="17"/>
  <c r="BW33" i="17"/>
  <c r="BW58" i="17"/>
  <c r="BW35" i="17"/>
  <c r="BW57" i="17"/>
  <c r="BW34" i="17"/>
  <c r="BW59" i="17"/>
  <c r="BW36" i="17"/>
  <c r="M41" i="17"/>
  <c r="M47" i="17"/>
  <c r="AZ18" i="17"/>
  <c r="AZ21" i="17"/>
  <c r="M67" i="17"/>
  <c r="M44" i="17"/>
  <c r="AZ24" i="17"/>
  <c r="AZ17" i="17"/>
  <c r="M40" i="17"/>
  <c r="M63" i="17"/>
  <c r="AZ15" i="17"/>
  <c r="M61" i="17"/>
  <c r="M38" i="17"/>
  <c r="M22" i="17"/>
  <c r="O22" i="17" s="1"/>
  <c r="AZ25" i="17"/>
  <c r="M48" i="17"/>
  <c r="M71" i="17"/>
  <c r="AZ27" i="17"/>
  <c r="M50" i="17"/>
  <c r="M73" i="17"/>
  <c r="M16" i="17"/>
  <c r="O16" i="17" s="1"/>
  <c r="BB16" i="17" s="1"/>
  <c r="AZ29" i="17"/>
  <c r="M52" i="17"/>
  <c r="M75" i="17"/>
  <c r="AZ19" i="17"/>
  <c r="M65" i="17"/>
  <c r="M42" i="17"/>
  <c r="M20" i="17"/>
  <c r="M28" i="17"/>
  <c r="AZ23" i="17"/>
  <c r="M69" i="17"/>
  <c r="M46" i="17"/>
  <c r="M26" i="17"/>
  <c r="BA22" i="17"/>
  <c r="N45" i="17"/>
  <c r="N68" i="17"/>
  <c r="BA24" i="17"/>
  <c r="N47" i="17"/>
  <c r="N70" i="17"/>
  <c r="BA18" i="17"/>
  <c r="N41" i="17"/>
  <c r="N64" i="17"/>
  <c r="O18" i="17"/>
  <c r="BB18" i="17" s="1"/>
  <c r="BA20" i="17"/>
  <c r="N66" i="17"/>
  <c r="N43" i="17"/>
  <c r="BA28" i="17"/>
  <c r="N74" i="17"/>
  <c r="N51" i="17"/>
  <c r="BA26" i="17"/>
  <c r="N49" i="17"/>
  <c r="N72" i="17"/>
  <c r="O24" i="17"/>
  <c r="BB24" i="17" s="1"/>
  <c r="BA16" i="17"/>
  <c r="N62" i="17"/>
  <c r="N39" i="17"/>
  <c r="AH15" i="17"/>
  <c r="AH27" i="17"/>
  <c r="AH19" i="17"/>
  <c r="AH23" i="17"/>
  <c r="O63" i="17"/>
  <c r="BB63" i="17" s="1"/>
  <c r="O67" i="17"/>
  <c r="O75" i="17"/>
  <c r="O61" i="17"/>
  <c r="O65" i="17"/>
  <c r="O69" i="17"/>
  <c r="BB69" i="17" s="1"/>
  <c r="O73" i="17"/>
  <c r="BB73" i="17" s="1"/>
  <c r="O48" i="17"/>
  <c r="O71" i="17"/>
  <c r="AH25" i="17"/>
  <c r="L15" i="17"/>
  <c r="AY15" i="17" s="1"/>
  <c r="O38" i="17"/>
  <c r="L29" i="17"/>
  <c r="AY29" i="17" s="1"/>
  <c r="O52" i="17"/>
  <c r="AH17" i="17"/>
  <c r="O44" i="17"/>
  <c r="O40" i="17"/>
  <c r="BB40" i="17" s="1"/>
  <c r="O46" i="17"/>
  <c r="BB46" i="17" s="1"/>
  <c r="O42" i="17"/>
  <c r="O50" i="17"/>
  <c r="BB50" i="17" s="1"/>
  <c r="AH29" i="17"/>
  <c r="L27" i="17"/>
  <c r="AY27" i="17" s="1"/>
  <c r="L19" i="17"/>
  <c r="AY19" i="17" s="1"/>
  <c r="L21" i="17"/>
  <c r="AY21" i="17" s="1"/>
  <c r="AH21" i="17"/>
  <c r="L25" i="17"/>
  <c r="AY25" i="17" s="1"/>
  <c r="L23" i="17"/>
  <c r="AY23" i="17" s="1"/>
  <c r="L17" i="17"/>
  <c r="AY17" i="17" s="1"/>
  <c r="AK21" i="17" l="1"/>
  <c r="AG21" i="17" s="1"/>
  <c r="AG44" i="17" s="1"/>
  <c r="AH44" i="17"/>
  <c r="AK23" i="17"/>
  <c r="BX23" i="17" s="1"/>
  <c r="AH46" i="17"/>
  <c r="AK27" i="17"/>
  <c r="BX27" i="17" s="1"/>
  <c r="AH50" i="17"/>
  <c r="AK17" i="17"/>
  <c r="AK40" i="17" s="1"/>
  <c r="AH40" i="17"/>
  <c r="AK19" i="17"/>
  <c r="BX19" i="17" s="1"/>
  <c r="AH42" i="17"/>
  <c r="AK25" i="17"/>
  <c r="AK48" i="17" s="1"/>
  <c r="AH48" i="17"/>
  <c r="AK29" i="17"/>
  <c r="AK75" i="17" s="1"/>
  <c r="AH52" i="17"/>
  <c r="AK15" i="17"/>
  <c r="BX15" i="17" s="1"/>
  <c r="AH38" i="17"/>
  <c r="AY65" i="17"/>
  <c r="AY42" i="17"/>
  <c r="AY61" i="17"/>
  <c r="AY38" i="17"/>
  <c r="AZ61" i="17"/>
  <c r="AZ38" i="17"/>
  <c r="BA74" i="17"/>
  <c r="BA51" i="17"/>
  <c r="AY73" i="17"/>
  <c r="BA68" i="17"/>
  <c r="BA45" i="17"/>
  <c r="AZ75" i="17"/>
  <c r="AZ52" i="17"/>
  <c r="BB39" i="17"/>
  <c r="BB62" i="17"/>
  <c r="BA66" i="17"/>
  <c r="BA43" i="17"/>
  <c r="AY67" i="17"/>
  <c r="AY44" i="17"/>
  <c r="AZ63" i="17"/>
  <c r="AZ40" i="17"/>
  <c r="BB64" i="17"/>
  <c r="AZ70" i="17"/>
  <c r="AZ47" i="17"/>
  <c r="BA39" i="17"/>
  <c r="BA62" i="17"/>
  <c r="AZ69" i="17"/>
  <c r="AZ46" i="17"/>
  <c r="AZ73" i="17"/>
  <c r="AZ50" i="17"/>
  <c r="BB47" i="17"/>
  <c r="BB70" i="17"/>
  <c r="AZ67" i="17"/>
  <c r="AZ44" i="17"/>
  <c r="BA64" i="17"/>
  <c r="BA41" i="17"/>
  <c r="AZ71" i="17"/>
  <c r="AZ48" i="17"/>
  <c r="AZ64" i="17"/>
  <c r="AZ41" i="17"/>
  <c r="AY48" i="17"/>
  <c r="AY71" i="17"/>
  <c r="BA72" i="17"/>
  <c r="BA49" i="17"/>
  <c r="AY52" i="17"/>
  <c r="AY75" i="17"/>
  <c r="BA70" i="17"/>
  <c r="BA47" i="17"/>
  <c r="AZ65" i="17"/>
  <c r="AZ42" i="17"/>
  <c r="O26" i="17"/>
  <c r="L26" i="17" s="1"/>
  <c r="AY26" i="17" s="1"/>
  <c r="N14" i="17"/>
  <c r="M14" i="17" s="1"/>
  <c r="AZ14" i="17" s="1"/>
  <c r="L16" i="17"/>
  <c r="AY16" i="17" s="1"/>
  <c r="BB22" i="17"/>
  <c r="O45" i="17"/>
  <c r="L22" i="17"/>
  <c r="AY22" i="17" s="1"/>
  <c r="O68" i="17"/>
  <c r="AZ28" i="17"/>
  <c r="M74" i="17"/>
  <c r="M51" i="17"/>
  <c r="O28" i="17"/>
  <c r="AZ20" i="17"/>
  <c r="M43" i="17"/>
  <c r="M66" i="17"/>
  <c r="O62" i="17"/>
  <c r="O20" i="17"/>
  <c r="L20" i="17" s="1"/>
  <c r="M72" i="17"/>
  <c r="AZ26" i="17"/>
  <c r="M49" i="17"/>
  <c r="O39" i="17"/>
  <c r="AZ22" i="17"/>
  <c r="M45" i="17"/>
  <c r="M68" i="17"/>
  <c r="AZ16" i="17"/>
  <c r="M62" i="17"/>
  <c r="M39" i="17"/>
  <c r="BU17" i="17"/>
  <c r="AH63" i="17"/>
  <c r="BU27" i="17"/>
  <c r="AH73" i="17"/>
  <c r="BU15" i="17"/>
  <c r="AH61" i="17"/>
  <c r="BU29" i="17"/>
  <c r="AH75" i="17"/>
  <c r="BU23" i="17"/>
  <c r="AH69" i="17"/>
  <c r="BU25" i="17"/>
  <c r="AH71" i="17"/>
  <c r="BU19" i="17"/>
  <c r="AH65" i="17"/>
  <c r="BU21" i="17"/>
  <c r="AH67" i="17"/>
  <c r="L24" i="17"/>
  <c r="L47" i="17" s="1"/>
  <c r="O47" i="17"/>
  <c r="O70" i="17"/>
  <c r="O64" i="17"/>
  <c r="L18" i="17"/>
  <c r="AY18" i="17" s="1"/>
  <c r="AH28" i="17"/>
  <c r="AH26" i="17"/>
  <c r="AH49" i="17" s="1"/>
  <c r="AH16" i="17"/>
  <c r="AH39" i="17" s="1"/>
  <c r="O41" i="17"/>
  <c r="BB41" i="17" s="1"/>
  <c r="AH20" i="17"/>
  <c r="AH43" i="17" s="1"/>
  <c r="AH22" i="17"/>
  <c r="AH18" i="17"/>
  <c r="AH24" i="17"/>
  <c r="AH47" i="17" s="1"/>
  <c r="L65" i="17"/>
  <c r="L63" i="17"/>
  <c r="AY63" i="17" s="1"/>
  <c r="L61" i="17"/>
  <c r="L73" i="17"/>
  <c r="K15" i="17"/>
  <c r="AX15" i="17" s="1"/>
  <c r="L38" i="17"/>
  <c r="L67" i="17"/>
  <c r="L48" i="17"/>
  <c r="L71" i="17"/>
  <c r="L46" i="17"/>
  <c r="AY46" i="17" s="1"/>
  <c r="L69" i="17"/>
  <c r="AY69" i="17" s="1"/>
  <c r="L52" i="17"/>
  <c r="L75" i="17"/>
  <c r="L40" i="17"/>
  <c r="AY40" i="17" s="1"/>
  <c r="L50" i="17"/>
  <c r="AY50" i="17" s="1"/>
  <c r="K29" i="17"/>
  <c r="AX29" i="17" s="1"/>
  <c r="L44" i="17"/>
  <c r="L42" i="17"/>
  <c r="K19" i="17"/>
  <c r="AX19" i="17" s="1"/>
  <c r="K27" i="17"/>
  <c r="AX27" i="17" s="1"/>
  <c r="K21" i="17"/>
  <c r="AX21" i="17" s="1"/>
  <c r="K25" i="17"/>
  <c r="AX25" i="17" s="1"/>
  <c r="K23" i="17"/>
  <c r="AX23" i="17" s="1"/>
  <c r="K17" i="17"/>
  <c r="AX17" i="17" s="1"/>
  <c r="AG27" i="17" l="1"/>
  <c r="AG50" i="17" s="1"/>
  <c r="AK63" i="17"/>
  <c r="AG29" i="17"/>
  <c r="AG52" i="17" s="1"/>
  <c r="AG19" i="17"/>
  <c r="AG42" i="17" s="1"/>
  <c r="BX21" i="17"/>
  <c r="BX67" i="17" s="1"/>
  <c r="BX25" i="17"/>
  <c r="BX71" i="17" s="1"/>
  <c r="AG17" i="17"/>
  <c r="AG40" i="17" s="1"/>
  <c r="AG15" i="17"/>
  <c r="AG38" i="17" s="1"/>
  <c r="BX17" i="17"/>
  <c r="BX63" i="17" s="1"/>
  <c r="AK65" i="17"/>
  <c r="AK42" i="17"/>
  <c r="AK18" i="17"/>
  <c r="AG18" i="17" s="1"/>
  <c r="AG41" i="17" s="1"/>
  <c r="AH41" i="17"/>
  <c r="AK22" i="17"/>
  <c r="BX22" i="17" s="1"/>
  <c r="AH45" i="17"/>
  <c r="AG25" i="17"/>
  <c r="AG48" i="17" s="1"/>
  <c r="AK28" i="17"/>
  <c r="AG28" i="17" s="1"/>
  <c r="AG51" i="17" s="1"/>
  <c r="AH51" i="17"/>
  <c r="AK73" i="17"/>
  <c r="AK50" i="17"/>
  <c r="AK61" i="17"/>
  <c r="AK38" i="17"/>
  <c r="AK69" i="17"/>
  <c r="AK46" i="17"/>
  <c r="AG23" i="17"/>
  <c r="AG46" i="17" s="1"/>
  <c r="AK71" i="17"/>
  <c r="BX29" i="17"/>
  <c r="AK52" i="17"/>
  <c r="AK67" i="17"/>
  <c r="AK44" i="17"/>
  <c r="L39" i="17"/>
  <c r="AY72" i="17"/>
  <c r="AY49" i="17"/>
  <c r="AX44" i="17"/>
  <c r="AX67" i="17"/>
  <c r="BB45" i="17"/>
  <c r="BB68" i="17"/>
  <c r="BU61" i="17"/>
  <c r="BU38" i="17"/>
  <c r="AZ68" i="17"/>
  <c r="AZ45" i="17"/>
  <c r="BX73" i="17"/>
  <c r="BX50" i="17"/>
  <c r="AX65" i="17"/>
  <c r="AX42" i="17"/>
  <c r="AX61" i="17"/>
  <c r="AX38" i="17"/>
  <c r="BU75" i="17"/>
  <c r="BU52" i="17"/>
  <c r="BX69" i="17"/>
  <c r="BX46" i="17"/>
  <c r="AZ66" i="17"/>
  <c r="AZ43" i="17"/>
  <c r="BU65" i="17"/>
  <c r="BU42" i="17"/>
  <c r="BU40" i="17"/>
  <c r="BU63" i="17"/>
  <c r="AY62" i="17"/>
  <c r="AY39" i="17"/>
  <c r="AZ72" i="17"/>
  <c r="AZ49" i="17"/>
  <c r="BU50" i="17"/>
  <c r="BU73" i="17"/>
  <c r="AZ74" i="17"/>
  <c r="AZ51" i="17"/>
  <c r="AX71" i="17"/>
  <c r="AX48" i="17"/>
  <c r="BU44" i="17"/>
  <c r="BU67" i="17"/>
  <c r="AX75" i="17"/>
  <c r="AX52" i="17"/>
  <c r="BU48" i="17"/>
  <c r="BU71" i="17"/>
  <c r="AZ39" i="17"/>
  <c r="AZ62" i="17"/>
  <c r="BU46" i="17"/>
  <c r="BU69" i="17"/>
  <c r="BX61" i="17"/>
  <c r="BX38" i="17"/>
  <c r="BX65" i="17"/>
  <c r="BX42" i="17"/>
  <c r="O72" i="17"/>
  <c r="M60" i="17"/>
  <c r="AZ60" i="17"/>
  <c r="AZ37" i="17"/>
  <c r="M37" i="17"/>
  <c r="L72" i="17"/>
  <c r="K26" i="17"/>
  <c r="AX26" i="17" s="1"/>
  <c r="L45" i="17"/>
  <c r="AY45" i="17" s="1"/>
  <c r="L49" i="17"/>
  <c r="BB26" i="17"/>
  <c r="O49" i="17"/>
  <c r="BA14" i="17"/>
  <c r="N60" i="17"/>
  <c r="N37" i="17"/>
  <c r="O14" i="17"/>
  <c r="K16" i="17"/>
  <c r="AX16" i="17" s="1"/>
  <c r="L68" i="17"/>
  <c r="AY68" i="17" s="1"/>
  <c r="L62" i="17"/>
  <c r="AY20" i="17"/>
  <c r="L66" i="17"/>
  <c r="K20" i="17"/>
  <c r="AX20" i="17" s="1"/>
  <c r="L43" i="17"/>
  <c r="AH66" i="17"/>
  <c r="AK20" i="17"/>
  <c r="AK43" i="17" s="1"/>
  <c r="AH72" i="17"/>
  <c r="AK26" i="17"/>
  <c r="AK49" i="17" s="1"/>
  <c r="BB28" i="17"/>
  <c r="O51" i="17"/>
  <c r="L28" i="17"/>
  <c r="O74" i="17"/>
  <c r="K22" i="17"/>
  <c r="AX22" i="17" s="1"/>
  <c r="AH70" i="17"/>
  <c r="AK24" i="17"/>
  <c r="AK47" i="17" s="1"/>
  <c r="AH62" i="17"/>
  <c r="AK16" i="17"/>
  <c r="BB20" i="17"/>
  <c r="O66" i="17"/>
  <c r="O43" i="17"/>
  <c r="BT21" i="17"/>
  <c r="AG67" i="17"/>
  <c r="AH74" i="17"/>
  <c r="AH68" i="17"/>
  <c r="AH64" i="17"/>
  <c r="BT27" i="17"/>
  <c r="AG73" i="17"/>
  <c r="K24" i="17"/>
  <c r="AX24" i="17" s="1"/>
  <c r="AY24" i="17"/>
  <c r="L70" i="17"/>
  <c r="L64" i="17"/>
  <c r="AY64" i="17" s="1"/>
  <c r="L41" i="17"/>
  <c r="AY41" i="17" s="1"/>
  <c r="K18" i="17"/>
  <c r="AX18" i="17" s="1"/>
  <c r="BU24" i="17"/>
  <c r="BU20" i="17"/>
  <c r="BU22" i="17"/>
  <c r="BU16" i="17"/>
  <c r="BU18" i="17"/>
  <c r="BU26" i="17"/>
  <c r="BU28" i="17"/>
  <c r="Z27" i="17"/>
  <c r="Z50" i="17" s="1"/>
  <c r="P15" i="17"/>
  <c r="K61" i="17"/>
  <c r="K38" i="17"/>
  <c r="K67" i="17"/>
  <c r="P27" i="17"/>
  <c r="K48" i="17"/>
  <c r="K71" i="17"/>
  <c r="K52" i="17"/>
  <c r="K75" i="17"/>
  <c r="K40" i="17"/>
  <c r="AX40" i="17" s="1"/>
  <c r="K63" i="17"/>
  <c r="AX63" i="17" s="1"/>
  <c r="K46" i="17"/>
  <c r="AX46" i="17" s="1"/>
  <c r="K69" i="17"/>
  <c r="AX69" i="17" s="1"/>
  <c r="K50" i="17"/>
  <c r="AX50" i="17" s="1"/>
  <c r="K73" i="17"/>
  <c r="AX73" i="17" s="1"/>
  <c r="P19" i="17"/>
  <c r="K65" i="17"/>
  <c r="P29" i="17"/>
  <c r="BC29" i="17" s="1"/>
  <c r="K44" i="17"/>
  <c r="K42" i="17"/>
  <c r="P21" i="17"/>
  <c r="BC21" i="17" s="1"/>
  <c r="P25" i="17"/>
  <c r="BC25" i="17" s="1"/>
  <c r="Z21" i="17"/>
  <c r="P23" i="17"/>
  <c r="BC23" i="17" s="1"/>
  <c r="P17" i="17"/>
  <c r="BC17" i="17" s="1"/>
  <c r="BT29" i="17" l="1"/>
  <c r="AG75" i="17"/>
  <c r="Z19" i="17"/>
  <c r="Z65" i="17" s="1"/>
  <c r="Z29" i="17"/>
  <c r="Z75" i="17" s="1"/>
  <c r="AG65" i="17"/>
  <c r="BT19" i="17"/>
  <c r="BT65" i="17" s="1"/>
  <c r="Z25" i="17"/>
  <c r="Z48" i="17" s="1"/>
  <c r="BX48" i="17"/>
  <c r="Z15" i="17"/>
  <c r="Z38" i="17" s="1"/>
  <c r="BX28" i="17"/>
  <c r="BX51" i="17" s="1"/>
  <c r="AG61" i="17"/>
  <c r="Z23" i="17"/>
  <c r="Z46" i="17" s="1"/>
  <c r="BX44" i="17"/>
  <c r="AG71" i="17"/>
  <c r="BT15" i="17"/>
  <c r="BT61" i="17" s="1"/>
  <c r="AG63" i="17"/>
  <c r="BT17" i="17"/>
  <c r="BT63" i="17" s="1"/>
  <c r="AG69" i="17"/>
  <c r="BT23" i="17"/>
  <c r="BT46" i="17" s="1"/>
  <c r="BT25" i="17"/>
  <c r="BT71" i="17" s="1"/>
  <c r="AG22" i="17"/>
  <c r="AG45" i="17" s="1"/>
  <c r="BX40" i="17"/>
  <c r="Z17" i="17"/>
  <c r="BM17" i="17" s="1"/>
  <c r="AK74" i="17"/>
  <c r="AK51" i="17"/>
  <c r="AG16" i="17"/>
  <c r="AG39" i="17" s="1"/>
  <c r="AK39" i="17"/>
  <c r="BX75" i="17"/>
  <c r="BX52" i="17"/>
  <c r="AK68" i="17"/>
  <c r="AK45" i="17"/>
  <c r="Z67" i="17"/>
  <c r="Z44" i="17"/>
  <c r="AK64" i="17"/>
  <c r="AK41" i="17"/>
  <c r="BX18" i="17"/>
  <c r="BX64" i="17" s="1"/>
  <c r="K39" i="17"/>
  <c r="BB43" i="17"/>
  <c r="BB66" i="17"/>
  <c r="BC44" i="17"/>
  <c r="BC67" i="17"/>
  <c r="BT50" i="17"/>
  <c r="BT73" i="17"/>
  <c r="BU66" i="17"/>
  <c r="BU43" i="17"/>
  <c r="BU51" i="17"/>
  <c r="BU74" i="17"/>
  <c r="AY66" i="17"/>
  <c r="AY43" i="17"/>
  <c r="AX66" i="17"/>
  <c r="AX43" i="17"/>
  <c r="BU47" i="17"/>
  <c r="BU70" i="17"/>
  <c r="BC52" i="17"/>
  <c r="BC75" i="17"/>
  <c r="BU72" i="17"/>
  <c r="BU49" i="17"/>
  <c r="BC71" i="17"/>
  <c r="BC48" i="17"/>
  <c r="BB72" i="17"/>
  <c r="BB49" i="17"/>
  <c r="BU68" i="17"/>
  <c r="BU45" i="17"/>
  <c r="BT67" i="17"/>
  <c r="BT44" i="17"/>
  <c r="BX68" i="17"/>
  <c r="BX45" i="17"/>
  <c r="AX62" i="17"/>
  <c r="AX39" i="17"/>
  <c r="P16" i="17"/>
  <c r="P39" i="17" s="1"/>
  <c r="BU41" i="17"/>
  <c r="BU64" i="17"/>
  <c r="AY47" i="17"/>
  <c r="AY70" i="17"/>
  <c r="BB51" i="17"/>
  <c r="BB74" i="17"/>
  <c r="BT52" i="17"/>
  <c r="BT75" i="17"/>
  <c r="K62" i="17"/>
  <c r="BU39" i="17"/>
  <c r="BU62" i="17"/>
  <c r="BX74" i="17"/>
  <c r="AX70" i="17"/>
  <c r="AX47" i="17"/>
  <c r="AX72" i="17"/>
  <c r="AX49" i="17"/>
  <c r="BA60" i="17"/>
  <c r="BA37" i="17"/>
  <c r="P26" i="17"/>
  <c r="BC26" i="17" s="1"/>
  <c r="K72" i="17"/>
  <c r="K49" i="17"/>
  <c r="K68" i="17"/>
  <c r="AX68" i="17" s="1"/>
  <c r="K45" i="17"/>
  <c r="AX45" i="17" s="1"/>
  <c r="BB14" i="17"/>
  <c r="O60" i="17"/>
  <c r="O37" i="17"/>
  <c r="L14" i="17"/>
  <c r="K66" i="17"/>
  <c r="P20" i="17"/>
  <c r="BC20" i="17" s="1"/>
  <c r="K43" i="17"/>
  <c r="P22" i="17"/>
  <c r="BC22" i="17" s="1"/>
  <c r="AK70" i="17"/>
  <c r="BX24" i="17"/>
  <c r="AK66" i="17"/>
  <c r="BX20" i="17"/>
  <c r="AG74" i="17"/>
  <c r="AK72" i="17"/>
  <c r="BX26" i="17"/>
  <c r="AG64" i="17"/>
  <c r="AK62" i="17"/>
  <c r="BX16" i="17"/>
  <c r="AG20" i="17"/>
  <c r="AG43" i="17" s="1"/>
  <c r="AY28" i="17"/>
  <c r="K28" i="17"/>
  <c r="L74" i="17"/>
  <c r="L51" i="17"/>
  <c r="AG24" i="17"/>
  <c r="AG26" i="17"/>
  <c r="BT28" i="17"/>
  <c r="Z18" i="17"/>
  <c r="BT18" i="17"/>
  <c r="Z28" i="17"/>
  <c r="BM27" i="17"/>
  <c r="Z73" i="17"/>
  <c r="K64" i="17"/>
  <c r="AX64" i="17" s="1"/>
  <c r="P24" i="17"/>
  <c r="BC24" i="17" s="1"/>
  <c r="K47" i="17"/>
  <c r="K41" i="17"/>
  <c r="AX41" i="17" s="1"/>
  <c r="K70" i="17"/>
  <c r="P18" i="17"/>
  <c r="BC18" i="17" s="1"/>
  <c r="AA27" i="17"/>
  <c r="BM21" i="17"/>
  <c r="BC27" i="17"/>
  <c r="P38" i="17"/>
  <c r="BC15" i="17"/>
  <c r="BC19" i="17"/>
  <c r="P61" i="17"/>
  <c r="P67" i="17"/>
  <c r="P50" i="17"/>
  <c r="P63" i="17"/>
  <c r="BC63" i="17" s="1"/>
  <c r="P73" i="17"/>
  <c r="P75" i="17"/>
  <c r="P71" i="17"/>
  <c r="P65" i="17"/>
  <c r="P69" i="17"/>
  <c r="BC69" i="17" s="1"/>
  <c r="P42" i="17"/>
  <c r="P40" i="17"/>
  <c r="BC40" i="17" s="1"/>
  <c r="P52" i="17"/>
  <c r="P46" i="17"/>
  <c r="BC46" i="17" s="1"/>
  <c r="P48" i="17"/>
  <c r="P44" i="17"/>
  <c r="AF25" i="17"/>
  <c r="AF48" i="17" s="1"/>
  <c r="AA21" i="17"/>
  <c r="Z61" i="17" l="1"/>
  <c r="BT42" i="17"/>
  <c r="AA15" i="17"/>
  <c r="AA38" i="17" s="1"/>
  <c r="BM15" i="17"/>
  <c r="BM61" i="17" s="1"/>
  <c r="AA25" i="17"/>
  <c r="AA48" i="17" s="1"/>
  <c r="BM29" i="17"/>
  <c r="BM52" i="17" s="1"/>
  <c r="AA19" i="17"/>
  <c r="AA65" i="17" s="1"/>
  <c r="Z42" i="17"/>
  <c r="BM19" i="17"/>
  <c r="BM42" i="17" s="1"/>
  <c r="Z71" i="17"/>
  <c r="BM25" i="17"/>
  <c r="BM48" i="17" s="1"/>
  <c r="Z52" i="17"/>
  <c r="AA29" i="17"/>
  <c r="AA52" i="17" s="1"/>
  <c r="Z69" i="17"/>
  <c r="BM23" i="17"/>
  <c r="BM69" i="17" s="1"/>
  <c r="AA23" i="17"/>
  <c r="AB23" i="17" s="1"/>
  <c r="AB46" i="17" s="1"/>
  <c r="BT40" i="17"/>
  <c r="BT48" i="17"/>
  <c r="AG68" i="17"/>
  <c r="AG62" i="17"/>
  <c r="BT38" i="17"/>
  <c r="BT16" i="17"/>
  <c r="BT39" i="17" s="1"/>
  <c r="BT69" i="17"/>
  <c r="BT22" i="17"/>
  <c r="BT68" i="17" s="1"/>
  <c r="Z22" i="17"/>
  <c r="Z45" i="17" s="1"/>
  <c r="BX41" i="17"/>
  <c r="AA17" i="17"/>
  <c r="AB17" i="17" s="1"/>
  <c r="Z40" i="17"/>
  <c r="Z63" i="17"/>
  <c r="P43" i="17"/>
  <c r="Z26" i="17"/>
  <c r="Z72" i="17" s="1"/>
  <c r="AG49" i="17"/>
  <c r="P66" i="17"/>
  <c r="AB29" i="17"/>
  <c r="AB52" i="17" s="1"/>
  <c r="Z24" i="17"/>
  <c r="Z47" i="17" s="1"/>
  <c r="AG47" i="17"/>
  <c r="AB21" i="17"/>
  <c r="AB44" i="17" s="1"/>
  <c r="AA44" i="17"/>
  <c r="AB27" i="17"/>
  <c r="AB50" i="17" s="1"/>
  <c r="AA50" i="17"/>
  <c r="AA28" i="17"/>
  <c r="AA51" i="17" s="1"/>
  <c r="Z51" i="17"/>
  <c r="Z16" i="17"/>
  <c r="Z39" i="17" s="1"/>
  <c r="Z64" i="17"/>
  <c r="Z41" i="17"/>
  <c r="BC16" i="17"/>
  <c r="BC62" i="17" s="1"/>
  <c r="P62" i="17"/>
  <c r="BC42" i="17"/>
  <c r="BC65" i="17"/>
  <c r="BC38" i="17"/>
  <c r="BC61" i="17"/>
  <c r="BC66" i="17"/>
  <c r="BC43" i="17"/>
  <c r="BM38" i="17"/>
  <c r="BX66" i="17"/>
  <c r="BX43" i="17"/>
  <c r="BC70" i="17"/>
  <c r="BC47" i="17"/>
  <c r="BT41" i="17"/>
  <c r="BT64" i="17"/>
  <c r="AY51" i="17"/>
  <c r="AY74" i="17"/>
  <c r="BM67" i="17"/>
  <c r="BM44" i="17"/>
  <c r="BM40" i="17"/>
  <c r="BM63" i="17"/>
  <c r="BT74" i="17"/>
  <c r="BT51" i="17"/>
  <c r="BX62" i="17"/>
  <c r="BX39" i="17"/>
  <c r="BX70" i="17"/>
  <c r="BX47" i="17"/>
  <c r="BC73" i="17"/>
  <c r="BC50" i="17"/>
  <c r="BM73" i="17"/>
  <c r="BM50" i="17"/>
  <c r="BX72" i="17"/>
  <c r="BX49" i="17"/>
  <c r="BC49" i="17"/>
  <c r="BC72" i="17"/>
  <c r="BB37" i="17"/>
  <c r="BB60" i="17"/>
  <c r="P68" i="17"/>
  <c r="BC68" i="17" s="1"/>
  <c r="Z20" i="17"/>
  <c r="AG66" i="17"/>
  <c r="P49" i="17"/>
  <c r="BT20" i="17"/>
  <c r="P72" i="17"/>
  <c r="AG72" i="17"/>
  <c r="BT26" i="17"/>
  <c r="AY14" i="17"/>
  <c r="K14" i="17"/>
  <c r="L60" i="17"/>
  <c r="L37" i="17"/>
  <c r="P45" i="17"/>
  <c r="BC45" i="17" s="1"/>
  <c r="AF15" i="17"/>
  <c r="AB15" i="17"/>
  <c r="AB38" i="17" s="1"/>
  <c r="BT24" i="17"/>
  <c r="AG70" i="17"/>
  <c r="AX28" i="17"/>
  <c r="K51" i="17"/>
  <c r="K74" i="17"/>
  <c r="P28" i="17"/>
  <c r="AA71" i="17"/>
  <c r="BN25" i="17"/>
  <c r="AA18" i="17"/>
  <c r="BM18" i="17"/>
  <c r="BN21" i="17"/>
  <c r="AA67" i="17"/>
  <c r="BM28" i="17"/>
  <c r="Z74" i="17"/>
  <c r="BN15" i="17"/>
  <c r="AA61" i="17"/>
  <c r="BS25" i="17"/>
  <c r="AF71" i="17"/>
  <c r="BN27" i="17"/>
  <c r="AA73" i="17"/>
  <c r="P70" i="17"/>
  <c r="P64" i="17"/>
  <c r="BC64" i="17" s="1"/>
  <c r="P41" i="17"/>
  <c r="BC41" i="17" s="1"/>
  <c r="P47" i="17"/>
  <c r="AF18" i="17"/>
  <c r="AF28" i="17"/>
  <c r="AF26" i="17"/>
  <c r="AF19" i="17"/>
  <c r="AF42" i="17" s="1"/>
  <c r="AF23" i="17"/>
  <c r="AF46" i="17" s="1"/>
  <c r="AF27" i="17"/>
  <c r="AF50" i="17" s="1"/>
  <c r="AF29" i="17"/>
  <c r="AF52" i="17" s="1"/>
  <c r="AL91" i="17"/>
  <c r="AF17" i="17"/>
  <c r="AF40" i="17" s="1"/>
  <c r="AF21" i="17"/>
  <c r="AF44" i="17" s="1"/>
  <c r="AG31" i="5"/>
  <c r="AG30" i="5"/>
  <c r="AG29" i="5"/>
  <c r="AG28" i="5"/>
  <c r="AG27" i="5"/>
  <c r="AG26" i="5"/>
  <c r="AG25" i="5"/>
  <c r="AG24" i="5"/>
  <c r="AG23" i="5"/>
  <c r="BM71" i="17" l="1"/>
  <c r="BM75" i="17"/>
  <c r="AA69" i="17"/>
  <c r="AB19" i="17"/>
  <c r="AB42" i="17" s="1"/>
  <c r="BN19" i="17"/>
  <c r="BN65" i="17" s="1"/>
  <c r="AB25" i="17"/>
  <c r="AB48" i="17" s="1"/>
  <c r="AA75" i="17"/>
  <c r="BN29" i="17"/>
  <c r="BN75" i="17" s="1"/>
  <c r="AA42" i="17"/>
  <c r="AA46" i="17"/>
  <c r="BM46" i="17"/>
  <c r="BN23" i="17"/>
  <c r="BN69" i="17" s="1"/>
  <c r="BM65" i="17"/>
  <c r="BT62" i="17"/>
  <c r="BM22" i="17"/>
  <c r="BM45" i="17" s="1"/>
  <c r="BM24" i="17"/>
  <c r="BM47" i="17" s="1"/>
  <c r="AA22" i="17"/>
  <c r="AB22" i="17" s="1"/>
  <c r="Z68" i="17"/>
  <c r="AA63" i="17"/>
  <c r="BN17" i="17"/>
  <c r="BN63" i="17" s="1"/>
  <c r="BN28" i="17"/>
  <c r="BN74" i="17" s="1"/>
  <c r="AB69" i="17"/>
  <c r="BO23" i="17"/>
  <c r="BO46" i="17" s="1"/>
  <c r="AB75" i="17"/>
  <c r="BT45" i="17"/>
  <c r="AB67" i="17"/>
  <c r="BO21" i="17"/>
  <c r="BO67" i="17" s="1"/>
  <c r="BC39" i="17"/>
  <c r="AB65" i="17"/>
  <c r="AB73" i="17"/>
  <c r="BO29" i="17"/>
  <c r="BO52" i="17" s="1"/>
  <c r="AB40" i="17"/>
  <c r="AB63" i="17"/>
  <c r="AA24" i="17"/>
  <c r="AB24" i="17" s="1"/>
  <c r="AA40" i="17"/>
  <c r="Z62" i="17"/>
  <c r="BM16" i="17"/>
  <c r="BM39" i="17" s="1"/>
  <c r="AB28" i="17"/>
  <c r="AB51" i="17" s="1"/>
  <c r="BO27" i="17"/>
  <c r="BO50" i="17" s="1"/>
  <c r="AA74" i="17"/>
  <c r="AA64" i="17"/>
  <c r="AA41" i="17"/>
  <c r="AA16" i="17"/>
  <c r="BN16" i="17" s="1"/>
  <c r="AA20" i="17"/>
  <c r="BN20" i="17" s="1"/>
  <c r="Z43" i="17"/>
  <c r="Z70" i="17"/>
  <c r="AF64" i="17"/>
  <c r="AF41" i="17"/>
  <c r="AF74" i="17"/>
  <c r="AF51" i="17"/>
  <c r="BS15" i="17"/>
  <c r="BS38" i="17" s="1"/>
  <c r="AF38" i="17"/>
  <c r="AA26" i="17"/>
  <c r="Z49" i="17"/>
  <c r="BO17" i="17"/>
  <c r="BO40" i="17" s="1"/>
  <c r="AF72" i="17"/>
  <c r="AF49" i="17"/>
  <c r="BM26" i="17"/>
  <c r="BM72" i="17" s="1"/>
  <c r="BM20" i="17"/>
  <c r="BM66" i="17" s="1"/>
  <c r="BN52" i="17"/>
  <c r="BS48" i="17"/>
  <c r="BS71" i="17"/>
  <c r="BN48" i="17"/>
  <c r="BN71" i="17"/>
  <c r="BN44" i="17"/>
  <c r="BN67" i="17"/>
  <c r="BT72" i="17"/>
  <c r="BT49" i="17"/>
  <c r="BN50" i="17"/>
  <c r="BN73" i="17"/>
  <c r="AX74" i="17"/>
  <c r="AX51" i="17"/>
  <c r="BM74" i="17"/>
  <c r="BM51" i="17"/>
  <c r="BN61" i="17"/>
  <c r="BN38" i="17"/>
  <c r="BN42" i="17"/>
  <c r="BT47" i="17"/>
  <c r="BT70" i="17"/>
  <c r="BT66" i="17"/>
  <c r="BT43" i="17"/>
  <c r="Z66" i="17"/>
  <c r="BM41" i="17"/>
  <c r="BM64" i="17"/>
  <c r="AY60" i="17"/>
  <c r="AY37" i="17"/>
  <c r="BN18" i="17"/>
  <c r="AX14" i="17"/>
  <c r="K37" i="17"/>
  <c r="K60" i="17"/>
  <c r="P14" i="17"/>
  <c r="AB18" i="17"/>
  <c r="AF61" i="17"/>
  <c r="P51" i="17"/>
  <c r="BC28" i="17"/>
  <c r="P74" i="17"/>
  <c r="AB71" i="17"/>
  <c r="BO15" i="17"/>
  <c r="AB61" i="17"/>
  <c r="AF22" i="17"/>
  <c r="BS27" i="17"/>
  <c r="AF73" i="17"/>
  <c r="BS23" i="17"/>
  <c r="AF69" i="17"/>
  <c r="BS21" i="17"/>
  <c r="AF67" i="17"/>
  <c r="BS29" i="17"/>
  <c r="AF75" i="17"/>
  <c r="BS17" i="17"/>
  <c r="AF63" i="17"/>
  <c r="BS19" i="17"/>
  <c r="AF65" i="17"/>
  <c r="AF24" i="17"/>
  <c r="AF16" i="17"/>
  <c r="AF39" i="17" s="1"/>
  <c r="BY91" i="17"/>
  <c r="AF20" i="17"/>
  <c r="AF43" i="17" s="1"/>
  <c r="BS26" i="17"/>
  <c r="BS28" i="17"/>
  <c r="BS18" i="17"/>
  <c r="U15" i="17"/>
  <c r="U19" i="17"/>
  <c r="U27" i="17"/>
  <c r="U25" i="17"/>
  <c r="AL87" i="17"/>
  <c r="AL98" i="17"/>
  <c r="AL96" i="17"/>
  <c r="U29" i="17"/>
  <c r="U21" i="17"/>
  <c r="U23" i="17"/>
  <c r="U17" i="17"/>
  <c r="AR30" i="5"/>
  <c r="AR25" i="5"/>
  <c r="BN24" i="17" l="1"/>
  <c r="BO19" i="17"/>
  <c r="BO65" i="17" s="1"/>
  <c r="BO25" i="17"/>
  <c r="BN46" i="17"/>
  <c r="BN40" i="17"/>
  <c r="BN51" i="17"/>
  <c r="BM68" i="17"/>
  <c r="BO69" i="17"/>
  <c r="BM70" i="17"/>
  <c r="BN22" i="17"/>
  <c r="BN68" i="17" s="1"/>
  <c r="AA45" i="17"/>
  <c r="AA68" i="17"/>
  <c r="BO44" i="17"/>
  <c r="BO42" i="17"/>
  <c r="BO73" i="17"/>
  <c r="AA70" i="17"/>
  <c r="BO75" i="17"/>
  <c r="AA62" i="17"/>
  <c r="BM62" i="17"/>
  <c r="BO28" i="17"/>
  <c r="BO74" i="17" s="1"/>
  <c r="AB74" i="17"/>
  <c r="AB47" i="17"/>
  <c r="AB70" i="17"/>
  <c r="AA47" i="17"/>
  <c r="BO63" i="17"/>
  <c r="BM49" i="17"/>
  <c r="BS61" i="17"/>
  <c r="BO24" i="17"/>
  <c r="BO70" i="17" s="1"/>
  <c r="AF70" i="17"/>
  <c r="AF47" i="17"/>
  <c r="AA66" i="17"/>
  <c r="BO22" i="17"/>
  <c r="BO45" i="17" s="1"/>
  <c r="AB45" i="17"/>
  <c r="AB64" i="17"/>
  <c r="AB41" i="17"/>
  <c r="BM43" i="17"/>
  <c r="AB20" i="17"/>
  <c r="AA43" i="17"/>
  <c r="AA49" i="17"/>
  <c r="BN26" i="17"/>
  <c r="AA72" i="17"/>
  <c r="AB26" i="17"/>
  <c r="AB16" i="17"/>
  <c r="AA39" i="17"/>
  <c r="AF68" i="17"/>
  <c r="AF45" i="17"/>
  <c r="BC51" i="17"/>
  <c r="BC74" i="17"/>
  <c r="BN62" i="17"/>
  <c r="BN39" i="17"/>
  <c r="BO48" i="17"/>
  <c r="BY48" i="17" s="1"/>
  <c r="BO71" i="17"/>
  <c r="BY71" i="17" s="1"/>
  <c r="BS52" i="17"/>
  <c r="BY52" i="17" s="1"/>
  <c r="BS75" i="17"/>
  <c r="BY75" i="17" s="1"/>
  <c r="BS42" i="17"/>
  <c r="BS65" i="17"/>
  <c r="BY65" i="17" s="1"/>
  <c r="BS46" i="17"/>
  <c r="BY46" i="17" s="1"/>
  <c r="BS69" i="17"/>
  <c r="BY69" i="17" s="1"/>
  <c r="BS51" i="17"/>
  <c r="BS74" i="17"/>
  <c r="BS44" i="17"/>
  <c r="BY44" i="17" s="1"/>
  <c r="BS67" i="17"/>
  <c r="BY67" i="17" s="1"/>
  <c r="BS41" i="17"/>
  <c r="BS64" i="17"/>
  <c r="BS49" i="17"/>
  <c r="BS72" i="17"/>
  <c r="BN47" i="17"/>
  <c r="BN70" i="17"/>
  <c r="BN43" i="17"/>
  <c r="BN66" i="17"/>
  <c r="BN64" i="17"/>
  <c r="BN41" i="17"/>
  <c r="BS63" i="17"/>
  <c r="BS40" i="17"/>
  <c r="BY40" i="17" s="1"/>
  <c r="BS50" i="17"/>
  <c r="BY50" i="17" s="1"/>
  <c r="BS73" i="17"/>
  <c r="BO61" i="17"/>
  <c r="BO38" i="17"/>
  <c r="BY38" i="17" s="1"/>
  <c r="AX60" i="17"/>
  <c r="AX37" i="17"/>
  <c r="BO18" i="17"/>
  <c r="AB68" i="17"/>
  <c r="BO68" i="17" s="1"/>
  <c r="BC14" i="17"/>
  <c r="P37" i="17"/>
  <c r="P60" i="17"/>
  <c r="BH23" i="17"/>
  <c r="J23" i="17"/>
  <c r="BH27" i="17"/>
  <c r="J27" i="17"/>
  <c r="BH21" i="17"/>
  <c r="J21" i="17"/>
  <c r="BH29" i="17"/>
  <c r="J29" i="17"/>
  <c r="BH25" i="17"/>
  <c r="J25" i="17"/>
  <c r="BH15" i="17"/>
  <c r="J15" i="17"/>
  <c r="BH17" i="17"/>
  <c r="J17" i="17"/>
  <c r="BH19" i="17"/>
  <c r="J19" i="17"/>
  <c r="BS22" i="17"/>
  <c r="BS20" i="17"/>
  <c r="AF66" i="17"/>
  <c r="AF62" i="17"/>
  <c r="BS24" i="17"/>
  <c r="BS16" i="17"/>
  <c r="AL89" i="17"/>
  <c r="BY89" i="17"/>
  <c r="BY98" i="17"/>
  <c r="BY87" i="17"/>
  <c r="BY96" i="17"/>
  <c r="U24" i="17"/>
  <c r="U22" i="17"/>
  <c r="U20" i="17"/>
  <c r="U26" i="17"/>
  <c r="U28" i="17"/>
  <c r="J28" i="17" s="1"/>
  <c r="U16" i="17"/>
  <c r="J16" i="17" s="1"/>
  <c r="U18" i="17"/>
  <c r="J18" i="17" s="1"/>
  <c r="U42" i="17"/>
  <c r="U61" i="17"/>
  <c r="U65" i="17"/>
  <c r="U38" i="17"/>
  <c r="U50" i="17"/>
  <c r="U73" i="17"/>
  <c r="U48" i="17"/>
  <c r="U71" i="17"/>
  <c r="U69" i="17"/>
  <c r="V89" i="17" s="1"/>
  <c r="U67" i="17"/>
  <c r="V87" i="17" s="1"/>
  <c r="U75" i="17"/>
  <c r="U40" i="17"/>
  <c r="U63" i="17"/>
  <c r="U46" i="17"/>
  <c r="U44" i="17"/>
  <c r="U52" i="17"/>
  <c r="BY73" i="17" l="1"/>
  <c r="BY42" i="17"/>
  <c r="BO51" i="17"/>
  <c r="BY51" i="17" s="1"/>
  <c r="BN45" i="17"/>
  <c r="BO47" i="17"/>
  <c r="BY63" i="17"/>
  <c r="BY61" i="17"/>
  <c r="AB43" i="17"/>
  <c r="BO20" i="17"/>
  <c r="AB66" i="17"/>
  <c r="AB39" i="17"/>
  <c r="AB62" i="17"/>
  <c r="BO16" i="17"/>
  <c r="AB49" i="17"/>
  <c r="BO26" i="17"/>
  <c r="AB72" i="17"/>
  <c r="BN72" i="17"/>
  <c r="BN49" i="17"/>
  <c r="BH44" i="17"/>
  <c r="BH67" i="17"/>
  <c r="BS39" i="17"/>
  <c r="BS62" i="17"/>
  <c r="BH40" i="17"/>
  <c r="BH63" i="17"/>
  <c r="BH38" i="17"/>
  <c r="BH61" i="17"/>
  <c r="BH46" i="17"/>
  <c r="BH69" i="17"/>
  <c r="BH75" i="17"/>
  <c r="BH52" i="17"/>
  <c r="BS43" i="17"/>
  <c r="BS66" i="17"/>
  <c r="BO41" i="17"/>
  <c r="BY41" i="17" s="1"/>
  <c r="BO64" i="17"/>
  <c r="BY64" i="17" s="1"/>
  <c r="BS47" i="17"/>
  <c r="BS70" i="17"/>
  <c r="BY70" i="17" s="1"/>
  <c r="BH48" i="17"/>
  <c r="BH71" i="17"/>
  <c r="BH42" i="17"/>
  <c r="BH65" i="17"/>
  <c r="BH50" i="17"/>
  <c r="BH73" i="17"/>
  <c r="BS45" i="17"/>
  <c r="BY45" i="17" s="1"/>
  <c r="BS68" i="17"/>
  <c r="BY68" i="17" s="1"/>
  <c r="BC60" i="17"/>
  <c r="BC37" i="17"/>
  <c r="U49" i="17"/>
  <c r="J26" i="17"/>
  <c r="AW15" i="17"/>
  <c r="Q15" i="17"/>
  <c r="R15" i="17" s="1"/>
  <c r="J61" i="17"/>
  <c r="J38" i="17"/>
  <c r="AW25" i="17"/>
  <c r="J71" i="17"/>
  <c r="Q25" i="17"/>
  <c r="R25" i="17" s="1"/>
  <c r="J48" i="17"/>
  <c r="AW21" i="17"/>
  <c r="J44" i="17"/>
  <c r="Q21" i="17"/>
  <c r="J67" i="17"/>
  <c r="AW19" i="17"/>
  <c r="J65" i="17"/>
  <c r="Q19" i="17"/>
  <c r="R19" i="17" s="1"/>
  <c r="J42" i="17"/>
  <c r="AW16" i="17"/>
  <c r="Q16" i="17"/>
  <c r="R16" i="17" s="1"/>
  <c r="J62" i="17"/>
  <c r="J39" i="17"/>
  <c r="U47" i="17"/>
  <c r="J24" i="17"/>
  <c r="AW27" i="17"/>
  <c r="J50" i="17"/>
  <c r="Q27" i="17"/>
  <c r="R27" i="17" s="1"/>
  <c r="J73" i="17"/>
  <c r="AW28" i="17"/>
  <c r="J51" i="17"/>
  <c r="J74" i="17"/>
  <c r="Q28" i="17"/>
  <c r="BH20" i="17"/>
  <c r="J20" i="17"/>
  <c r="U45" i="17"/>
  <c r="J22" i="17"/>
  <c r="J41" i="17"/>
  <c r="AW18" i="17"/>
  <c r="J64" i="17"/>
  <c r="Q18" i="17"/>
  <c r="AW29" i="17"/>
  <c r="J75" i="17"/>
  <c r="Q29" i="17"/>
  <c r="R29" i="17" s="1"/>
  <c r="J52" i="17"/>
  <c r="AW17" i="17"/>
  <c r="J63" i="17"/>
  <c r="Q17" i="17"/>
  <c r="R17" i="17" s="1"/>
  <c r="J40" i="17"/>
  <c r="AW23" i="17"/>
  <c r="Q23" i="17"/>
  <c r="J46" i="17"/>
  <c r="J69" i="17"/>
  <c r="S63" i="4"/>
  <c r="S61" i="4"/>
  <c r="F87" i="17"/>
  <c r="V61" i="4" s="1"/>
  <c r="F89" i="17"/>
  <c r="BI96" i="17"/>
  <c r="AI63" i="4" s="1"/>
  <c r="BI87" i="17"/>
  <c r="BI89" i="17"/>
  <c r="AH63" i="4" s="1"/>
  <c r="BY74" i="17"/>
  <c r="BH24" i="17"/>
  <c r="BH22" i="17"/>
  <c r="BH26" i="17"/>
  <c r="U70" i="17"/>
  <c r="U66" i="17"/>
  <c r="U43" i="17"/>
  <c r="U68" i="17"/>
  <c r="U72" i="17"/>
  <c r="BH16" i="17"/>
  <c r="U62" i="17"/>
  <c r="U39" i="17"/>
  <c r="BH18" i="17"/>
  <c r="U64" i="17"/>
  <c r="U41" i="17"/>
  <c r="BH28" i="17"/>
  <c r="U74" i="17"/>
  <c r="U51" i="17"/>
  <c r="BY47" i="17" l="1"/>
  <c r="BO72" i="17"/>
  <c r="BY72" i="17" s="1"/>
  <c r="BO49" i="17"/>
  <c r="BY49" i="17" s="1"/>
  <c r="BO62" i="17"/>
  <c r="BY62" i="17" s="1"/>
  <c r="BO39" i="17"/>
  <c r="BY39" i="17" s="1"/>
  <c r="BO43" i="17"/>
  <c r="BY43" i="17" s="1"/>
  <c r="BO66" i="17"/>
  <c r="BY66" i="17" s="1"/>
  <c r="BH72" i="17"/>
  <c r="BH49" i="17"/>
  <c r="AW67" i="17"/>
  <c r="AW44" i="17"/>
  <c r="BH70" i="17"/>
  <c r="BH47" i="17"/>
  <c r="BH41" i="17"/>
  <c r="BH64" i="17"/>
  <c r="BH51" i="17"/>
  <c r="BH74" i="17"/>
  <c r="AW40" i="17"/>
  <c r="AW63" i="17"/>
  <c r="BH66" i="17"/>
  <c r="BH43" i="17"/>
  <c r="AW39" i="17"/>
  <c r="AW62" i="17"/>
  <c r="AW71" i="17"/>
  <c r="AW48" i="17"/>
  <c r="BH62" i="17"/>
  <c r="BH39" i="17"/>
  <c r="AW52" i="17"/>
  <c r="AW75" i="17"/>
  <c r="AW74" i="17"/>
  <c r="AW51" i="17"/>
  <c r="BH45" i="17"/>
  <c r="BH68" i="17"/>
  <c r="AW65" i="17"/>
  <c r="AW42" i="17"/>
  <c r="AW38" i="17"/>
  <c r="AW61" i="17"/>
  <c r="AW41" i="17"/>
  <c r="AW64" i="17"/>
  <c r="AW46" i="17"/>
  <c r="AW69" i="17"/>
  <c r="AW73" i="17"/>
  <c r="AW50" i="17"/>
  <c r="BE29" i="17"/>
  <c r="R75" i="17"/>
  <c r="R52" i="17"/>
  <c r="BE17" i="17"/>
  <c r="R40" i="17"/>
  <c r="R63" i="17"/>
  <c r="BE16" i="17"/>
  <c r="R39" i="17"/>
  <c r="R62" i="17"/>
  <c r="J66" i="17"/>
  <c r="Q20" i="17"/>
  <c r="AW20" i="17"/>
  <c r="J43" i="17"/>
  <c r="BD21" i="17"/>
  <c r="Q67" i="17"/>
  <c r="Q44" i="17"/>
  <c r="BD23" i="17"/>
  <c r="Q69" i="17"/>
  <c r="Q46" i="17"/>
  <c r="Q64" i="17"/>
  <c r="BD18" i="17"/>
  <c r="Q41" i="17"/>
  <c r="BD28" i="17"/>
  <c r="Q51" i="17"/>
  <c r="Q74" i="17"/>
  <c r="R23" i="17"/>
  <c r="R21" i="17"/>
  <c r="BD15" i="17"/>
  <c r="Q38" i="17"/>
  <c r="Q61" i="17"/>
  <c r="BE19" i="17"/>
  <c r="R65" i="17"/>
  <c r="R42" i="17"/>
  <c r="BE27" i="17"/>
  <c r="R50" i="17"/>
  <c r="R73" i="17"/>
  <c r="R18" i="17"/>
  <c r="R28" i="17"/>
  <c r="BD25" i="17"/>
  <c r="Q48" i="17"/>
  <c r="Q71" i="17"/>
  <c r="BD17" i="17"/>
  <c r="Q40" i="17"/>
  <c r="Q63" i="17"/>
  <c r="BD29" i="17"/>
  <c r="Q52" i="17"/>
  <c r="Q75" i="17"/>
  <c r="BD16" i="17"/>
  <c r="Q39" i="17"/>
  <c r="Q62" i="17"/>
  <c r="BE15" i="17"/>
  <c r="R61" i="17"/>
  <c r="R38" i="17"/>
  <c r="BD27" i="17"/>
  <c r="Q73" i="17"/>
  <c r="Q50" i="17"/>
  <c r="AW22" i="17"/>
  <c r="J45" i="17"/>
  <c r="Q22" i="17"/>
  <c r="R22" i="17" s="1"/>
  <c r="J68" i="17"/>
  <c r="J70" i="17"/>
  <c r="AW24" i="17"/>
  <c r="Q24" i="17"/>
  <c r="R24" i="17" s="1"/>
  <c r="J47" i="17"/>
  <c r="BD19" i="17"/>
  <c r="Q42" i="17"/>
  <c r="Q65" i="17"/>
  <c r="BE25" i="17"/>
  <c r="R48" i="17"/>
  <c r="R71" i="17"/>
  <c r="J49" i="17"/>
  <c r="AW26" i="17"/>
  <c r="J72" i="17"/>
  <c r="Q26" i="17"/>
  <c r="R26" i="17" s="1"/>
  <c r="AH61" i="4"/>
  <c r="AL61" i="4" s="1"/>
  <c r="AR96" i="17"/>
  <c r="AR89" i="17"/>
  <c r="AR87" i="17"/>
  <c r="AK61" i="4" s="1"/>
  <c r="AO61" i="4" s="1"/>
  <c r="BD39" i="17" l="1"/>
  <c r="BD62" i="17"/>
  <c r="AW49" i="17"/>
  <c r="AW72" i="17"/>
  <c r="AW66" i="17"/>
  <c r="AW43" i="17"/>
  <c r="BD74" i="17"/>
  <c r="BD51" i="17"/>
  <c r="BE71" i="17"/>
  <c r="BE48" i="17"/>
  <c r="AW45" i="17"/>
  <c r="AW68" i="17"/>
  <c r="BD75" i="17"/>
  <c r="BD52" i="17"/>
  <c r="BE42" i="17"/>
  <c r="BE65" i="17"/>
  <c r="BE62" i="17"/>
  <c r="BE39" i="17"/>
  <c r="BD73" i="17"/>
  <c r="BD50" i="17"/>
  <c r="BD63" i="17"/>
  <c r="BD40" i="17"/>
  <c r="BD41" i="17"/>
  <c r="BD64" i="17"/>
  <c r="BD65" i="17"/>
  <c r="BD42" i="17"/>
  <c r="BD69" i="17"/>
  <c r="BD46" i="17"/>
  <c r="BE40" i="17"/>
  <c r="BE63" i="17"/>
  <c r="BE50" i="17"/>
  <c r="BE73" i="17"/>
  <c r="BD61" i="17"/>
  <c r="BD38" i="17"/>
  <c r="BE61" i="17"/>
  <c r="BE38" i="17"/>
  <c r="BD48" i="17"/>
  <c r="BD71" i="17"/>
  <c r="AW47" i="17"/>
  <c r="AW70" i="17"/>
  <c r="BD67" i="17"/>
  <c r="BD44" i="17"/>
  <c r="BE75" i="17"/>
  <c r="BE52" i="17"/>
  <c r="BE26" i="17"/>
  <c r="R72" i="17"/>
  <c r="R49" i="17"/>
  <c r="BE24" i="17"/>
  <c r="R70" i="17"/>
  <c r="R47" i="17"/>
  <c r="BE28" i="17"/>
  <c r="R74" i="17"/>
  <c r="R51" i="17"/>
  <c r="BE21" i="17"/>
  <c r="R44" i="17"/>
  <c r="R67" i="17"/>
  <c r="BE22" i="17"/>
  <c r="R45" i="17"/>
  <c r="R68" i="17"/>
  <c r="BE18" i="17"/>
  <c r="R64" i="17"/>
  <c r="R41" i="17"/>
  <c r="BE23" i="17"/>
  <c r="R46" i="17"/>
  <c r="R69" i="17"/>
  <c r="BD20" i="17"/>
  <c r="Q43" i="17"/>
  <c r="Q66" i="17"/>
  <c r="BD24" i="17"/>
  <c r="Q70" i="17"/>
  <c r="Q47" i="17"/>
  <c r="BD22" i="17"/>
  <c r="Q45" i="17"/>
  <c r="Q68" i="17"/>
  <c r="R20" i="17"/>
  <c r="BD26" i="17"/>
  <c r="Q49" i="17"/>
  <c r="Q72" i="17"/>
  <c r="AK63" i="4"/>
  <c r="I30" i="9"/>
  <c r="D30" i="9"/>
  <c r="I29" i="9"/>
  <c r="H29" i="9"/>
  <c r="D29" i="9"/>
  <c r="I28" i="9"/>
  <c r="H28" i="9"/>
  <c r="D28" i="9"/>
  <c r="I27" i="9"/>
  <c r="H27" i="9"/>
  <c r="D27" i="9"/>
  <c r="I26" i="9"/>
  <c r="H26" i="9"/>
  <c r="D26" i="9"/>
  <c r="I25" i="9"/>
  <c r="X29" i="6"/>
  <c r="D25" i="9"/>
  <c r="I24" i="9"/>
  <c r="H24" i="9"/>
  <c r="D24" i="9"/>
  <c r="I23" i="9"/>
  <c r="H23" i="9"/>
  <c r="D23" i="9"/>
  <c r="I22" i="9"/>
  <c r="H22" i="9"/>
  <c r="D22" i="9"/>
  <c r="I21" i="9"/>
  <c r="H21" i="9"/>
  <c r="D21" i="9"/>
  <c r="I20" i="9"/>
  <c r="H20" i="9"/>
  <c r="D20" i="9"/>
  <c r="I19" i="9"/>
  <c r="H19" i="9"/>
  <c r="D19" i="9"/>
  <c r="I18" i="9"/>
  <c r="H18" i="9"/>
  <c r="D18" i="9"/>
  <c r="I17" i="9"/>
  <c r="H17" i="9"/>
  <c r="D17" i="9"/>
  <c r="I16" i="9"/>
  <c r="H16" i="9"/>
  <c r="D16" i="9"/>
  <c r="I15" i="9"/>
  <c r="H15" i="9"/>
  <c r="D15" i="9"/>
  <c r="I14" i="9"/>
  <c r="H14" i="9"/>
  <c r="D14" i="9"/>
  <c r="I12" i="9"/>
  <c r="H12" i="9"/>
  <c r="D12" i="9"/>
  <c r="I11" i="9"/>
  <c r="H11" i="9"/>
  <c r="D11" i="9"/>
  <c r="I10" i="9"/>
  <c r="H10" i="9"/>
  <c r="D10" i="9"/>
  <c r="I9" i="9"/>
  <c r="H9" i="9"/>
  <c r="D9" i="9"/>
  <c r="I8" i="9"/>
  <c r="H8" i="9"/>
  <c r="D8" i="9"/>
  <c r="I7" i="9"/>
  <c r="H7" i="9"/>
  <c r="AO49" i="5" s="1"/>
  <c r="U49" i="5" s="1"/>
  <c r="AL49" i="5" s="1"/>
  <c r="D7" i="9"/>
  <c r="I6" i="9"/>
  <c r="H6" i="9"/>
  <c r="D6" i="9"/>
  <c r="I5" i="9"/>
  <c r="H5" i="9"/>
  <c r="D5" i="9"/>
  <c r="I4" i="9"/>
  <c r="H4" i="9"/>
  <c r="D4" i="9"/>
  <c r="I3" i="9"/>
  <c r="H3" i="9"/>
  <c r="D3" i="9"/>
  <c r="Z38" i="6"/>
  <c r="Y38" i="6"/>
  <c r="W38" i="6"/>
  <c r="V38" i="6"/>
  <c r="U38" i="6"/>
  <c r="L38" i="6"/>
  <c r="K38" i="6"/>
  <c r="J38" i="6"/>
  <c r="Z37" i="6"/>
  <c r="Y37" i="6"/>
  <c r="W37" i="6"/>
  <c r="V37" i="6"/>
  <c r="U37" i="6"/>
  <c r="L37" i="6"/>
  <c r="K37" i="6"/>
  <c r="J37" i="6"/>
  <c r="Z36" i="6"/>
  <c r="Y36" i="6"/>
  <c r="X36" i="6"/>
  <c r="W36" i="6"/>
  <c r="V36" i="6"/>
  <c r="U36" i="6"/>
  <c r="L36" i="6"/>
  <c r="K36" i="6"/>
  <c r="J36" i="6"/>
  <c r="Z35" i="6"/>
  <c r="Y35" i="6"/>
  <c r="W35" i="6"/>
  <c r="V35" i="6"/>
  <c r="U35" i="6"/>
  <c r="L35" i="6"/>
  <c r="K35" i="6"/>
  <c r="J35" i="6"/>
  <c r="Z34" i="6"/>
  <c r="Y34" i="6"/>
  <c r="W34" i="6"/>
  <c r="V34" i="6"/>
  <c r="U34" i="6"/>
  <c r="L34" i="6"/>
  <c r="K34" i="6"/>
  <c r="J34" i="6"/>
  <c r="Z33" i="6"/>
  <c r="Y33" i="6"/>
  <c r="W33" i="6"/>
  <c r="V33" i="6"/>
  <c r="U33" i="6"/>
  <c r="L33" i="6"/>
  <c r="K33" i="6"/>
  <c r="J33" i="6"/>
  <c r="Z32" i="6"/>
  <c r="Y32" i="6"/>
  <c r="W32" i="6"/>
  <c r="V32" i="6"/>
  <c r="U32" i="6"/>
  <c r="L32" i="6"/>
  <c r="K32" i="6"/>
  <c r="J32" i="6"/>
  <c r="Z31" i="6"/>
  <c r="Y31" i="6"/>
  <c r="W31" i="6"/>
  <c r="V31" i="6"/>
  <c r="U31" i="6"/>
  <c r="L31" i="6"/>
  <c r="K31" i="6"/>
  <c r="J31" i="6"/>
  <c r="Z30" i="6"/>
  <c r="Y30" i="6"/>
  <c r="W30" i="6"/>
  <c r="V30" i="6"/>
  <c r="U30" i="6"/>
  <c r="L30" i="6"/>
  <c r="K30" i="6"/>
  <c r="J30" i="6"/>
  <c r="Z29" i="6"/>
  <c r="Y29" i="6"/>
  <c r="W29" i="6"/>
  <c r="V29" i="6"/>
  <c r="U29" i="6"/>
  <c r="L29" i="6"/>
  <c r="K29" i="6"/>
  <c r="J29" i="6"/>
  <c r="Z28" i="6"/>
  <c r="Y28" i="6"/>
  <c r="W28" i="6"/>
  <c r="V28" i="6"/>
  <c r="U28" i="6"/>
  <c r="L28" i="6"/>
  <c r="K28" i="6"/>
  <c r="J28" i="6"/>
  <c r="Z27" i="6"/>
  <c r="Y27" i="6"/>
  <c r="W27" i="6"/>
  <c r="V27" i="6"/>
  <c r="U27" i="6"/>
  <c r="L27" i="6"/>
  <c r="K27" i="6"/>
  <c r="J27" i="6"/>
  <c r="Z26" i="6"/>
  <c r="Y26" i="6"/>
  <c r="W26" i="6"/>
  <c r="V26" i="6"/>
  <c r="U26" i="6"/>
  <c r="L26" i="6"/>
  <c r="K26" i="6"/>
  <c r="J26" i="6"/>
  <c r="Z25" i="6"/>
  <c r="Y25" i="6"/>
  <c r="X25" i="6"/>
  <c r="W25" i="6"/>
  <c r="V25" i="6"/>
  <c r="U25" i="6"/>
  <c r="L25" i="6"/>
  <c r="K25" i="6"/>
  <c r="J25" i="6"/>
  <c r="Z24" i="6"/>
  <c r="Y24" i="6"/>
  <c r="W24" i="6"/>
  <c r="V24" i="6"/>
  <c r="U24" i="6"/>
  <c r="L24" i="6"/>
  <c r="K24" i="6"/>
  <c r="J24" i="6"/>
  <c r="Z23" i="6"/>
  <c r="Y23" i="6"/>
  <c r="X23" i="6"/>
  <c r="W23" i="6"/>
  <c r="V23" i="6"/>
  <c r="U23" i="6"/>
  <c r="L23" i="6"/>
  <c r="K23" i="6"/>
  <c r="J23" i="6"/>
  <c r="Z22" i="6"/>
  <c r="Y22" i="6"/>
  <c r="W22" i="6"/>
  <c r="V22" i="6"/>
  <c r="U22" i="6"/>
  <c r="L22" i="6"/>
  <c r="K22" i="6"/>
  <c r="J22" i="6"/>
  <c r="Z21" i="6"/>
  <c r="Y21" i="6"/>
  <c r="W21" i="6"/>
  <c r="V21" i="6"/>
  <c r="U21" i="6"/>
  <c r="L21" i="6"/>
  <c r="K21" i="6"/>
  <c r="J21" i="6"/>
  <c r="Z20" i="6"/>
  <c r="Y20" i="6"/>
  <c r="W20" i="6"/>
  <c r="V20" i="6"/>
  <c r="U20" i="6"/>
  <c r="L20" i="6"/>
  <c r="K20" i="6"/>
  <c r="J20" i="6"/>
  <c r="Z19" i="6"/>
  <c r="Y19" i="6"/>
  <c r="W19" i="6"/>
  <c r="V19" i="6"/>
  <c r="U19" i="6"/>
  <c r="L19" i="6"/>
  <c r="K19" i="6"/>
  <c r="J19" i="6"/>
  <c r="Z18" i="6"/>
  <c r="Y18" i="6"/>
  <c r="W18" i="6"/>
  <c r="V18" i="6"/>
  <c r="U18" i="6"/>
  <c r="R18" i="6"/>
  <c r="O18" i="6"/>
  <c r="L18" i="6"/>
  <c r="K18" i="6"/>
  <c r="J18" i="6"/>
  <c r="G18" i="6"/>
  <c r="D18" i="6"/>
  <c r="Z17" i="6"/>
  <c r="Y17" i="6"/>
  <c r="X17" i="6"/>
  <c r="W17" i="6"/>
  <c r="V17" i="6"/>
  <c r="U17" i="6"/>
  <c r="M17" i="6"/>
  <c r="AA17" i="6" s="1"/>
  <c r="L17" i="6"/>
  <c r="K17" i="6"/>
  <c r="J17" i="6"/>
  <c r="I10" i="6"/>
  <c r="H8" i="6" s="1"/>
  <c r="H10" i="6"/>
  <c r="G10" i="6"/>
  <c r="Z16" i="6" s="1"/>
  <c r="F10" i="6"/>
  <c r="E10" i="6"/>
  <c r="M38" i="6" s="1"/>
  <c r="J5" i="6"/>
  <c r="I5" i="6"/>
  <c r="H5" i="6"/>
  <c r="G5" i="6"/>
  <c r="J4" i="6"/>
  <c r="I4" i="6"/>
  <c r="H4" i="6"/>
  <c r="G4" i="6"/>
  <c r="V29" i="8"/>
  <c r="I29" i="8"/>
  <c r="V28" i="8"/>
  <c r="I28" i="8"/>
  <c r="V27" i="8"/>
  <c r="I27" i="8"/>
  <c r="V26" i="8"/>
  <c r="I26" i="8"/>
  <c r="V25" i="8"/>
  <c r="I25" i="8"/>
  <c r="M25" i="8" s="1"/>
  <c r="V24" i="8"/>
  <c r="I24" i="8"/>
  <c r="V23" i="8"/>
  <c r="I23" i="8"/>
  <c r="V22" i="8"/>
  <c r="O22" i="8"/>
  <c r="V21" i="8"/>
  <c r="I21" i="8"/>
  <c r="W29" i="7"/>
  <c r="X29" i="7" s="1"/>
  <c r="N29" i="7"/>
  <c r="AA29" i="7" s="1"/>
  <c r="H29" i="7"/>
  <c r="I29" i="7" s="1"/>
  <c r="W28" i="7"/>
  <c r="X28" i="7" s="1"/>
  <c r="N28" i="7"/>
  <c r="AA28" i="7" s="1"/>
  <c r="H28" i="7"/>
  <c r="I28" i="7" s="1"/>
  <c r="W27" i="7"/>
  <c r="X27" i="7" s="1"/>
  <c r="N27" i="7"/>
  <c r="AA27" i="7" s="1"/>
  <c r="H27" i="7"/>
  <c r="I27" i="7" s="1"/>
  <c r="W26" i="7"/>
  <c r="X26" i="7" s="1"/>
  <c r="N26" i="7"/>
  <c r="AA26" i="7" s="1"/>
  <c r="H26" i="7"/>
  <c r="I26" i="7" s="1"/>
  <c r="W25" i="7"/>
  <c r="X25" i="7" s="1"/>
  <c r="N25" i="7"/>
  <c r="AA25" i="7" s="1"/>
  <c r="H25" i="7"/>
  <c r="I25" i="7" s="1"/>
  <c r="W24" i="7"/>
  <c r="X24" i="7" s="1"/>
  <c r="N24" i="7"/>
  <c r="AA24" i="7" s="1"/>
  <c r="H24" i="7"/>
  <c r="I24" i="7" s="1"/>
  <c r="W23" i="7"/>
  <c r="X23" i="7" s="1"/>
  <c r="N23" i="7"/>
  <c r="AA23" i="7" s="1"/>
  <c r="H23" i="7"/>
  <c r="I23" i="7" s="1"/>
  <c r="W22" i="7"/>
  <c r="X22" i="7" s="1"/>
  <c r="N22" i="7"/>
  <c r="AA22" i="7" s="1"/>
  <c r="H22" i="7"/>
  <c r="I22" i="7" s="1"/>
  <c r="W21" i="7"/>
  <c r="X21" i="7" s="1"/>
  <c r="N21" i="7"/>
  <c r="AA21" i="7" s="1"/>
  <c r="H21" i="7"/>
  <c r="I21" i="7" s="1"/>
  <c r="W20" i="7"/>
  <c r="X20" i="7" s="1"/>
  <c r="N20" i="7"/>
  <c r="O20" i="7" s="1"/>
  <c r="AY31" i="5"/>
  <c r="AW31" i="5"/>
  <c r="AE31" i="5" s="1"/>
  <c r="AV31" i="5"/>
  <c r="AU31" i="5"/>
  <c r="AS31" i="5"/>
  <c r="AQ31" i="5"/>
  <c r="N31" i="5" s="1"/>
  <c r="AP31" i="5"/>
  <c r="AO31" i="5"/>
  <c r="R31" i="5"/>
  <c r="AF31" i="5" s="1"/>
  <c r="I31" i="5"/>
  <c r="AY30" i="5"/>
  <c r="AW30" i="5"/>
  <c r="AE30" i="5" s="1"/>
  <c r="AV30" i="5"/>
  <c r="AU30" i="5"/>
  <c r="AS30" i="5"/>
  <c r="AQ30" i="5"/>
  <c r="N30" i="5" s="1"/>
  <c r="AP30" i="5"/>
  <c r="AO30" i="5"/>
  <c r="R30" i="5"/>
  <c r="AF30" i="5" s="1"/>
  <c r="I30" i="5"/>
  <c r="AY29" i="5"/>
  <c r="AW29" i="5"/>
  <c r="AE29" i="5" s="1"/>
  <c r="AV29" i="5"/>
  <c r="AU29" i="5"/>
  <c r="AS29" i="5"/>
  <c r="AQ29" i="5"/>
  <c r="N29" i="5" s="1"/>
  <c r="AP29" i="5"/>
  <c r="AO29" i="5"/>
  <c r="R29" i="5"/>
  <c r="T29" i="5" s="1"/>
  <c r="I29" i="5"/>
  <c r="AY28" i="5"/>
  <c r="AW28" i="5"/>
  <c r="AE28" i="5" s="1"/>
  <c r="AV28" i="5"/>
  <c r="AU28" i="5"/>
  <c r="AS28" i="5"/>
  <c r="AQ28" i="5"/>
  <c r="N28" i="5" s="1"/>
  <c r="AP28" i="5"/>
  <c r="AO28" i="5"/>
  <c r="R28" i="5"/>
  <c r="AF28" i="5" s="1"/>
  <c r="I28" i="5"/>
  <c r="AY27" i="5"/>
  <c r="AW27" i="5"/>
  <c r="AE27" i="5" s="1"/>
  <c r="AV27" i="5"/>
  <c r="AU27" i="5"/>
  <c r="AS27" i="5"/>
  <c r="AQ27" i="5"/>
  <c r="N27" i="5" s="1"/>
  <c r="AP27" i="5"/>
  <c r="AO27" i="5"/>
  <c r="R27" i="5"/>
  <c r="I27" i="5"/>
  <c r="AY26" i="5"/>
  <c r="AW26" i="5"/>
  <c r="AE26" i="5" s="1"/>
  <c r="AV26" i="5"/>
  <c r="AU26" i="5"/>
  <c r="AS26" i="5"/>
  <c r="AQ26" i="5"/>
  <c r="N26" i="5" s="1"/>
  <c r="AP26" i="5"/>
  <c r="AO26" i="5"/>
  <c r="R26" i="5"/>
  <c r="AF26" i="5" s="1"/>
  <c r="I26" i="5"/>
  <c r="AY25" i="5"/>
  <c r="AW25" i="5"/>
  <c r="AE25" i="5" s="1"/>
  <c r="AV25" i="5"/>
  <c r="AU25" i="5"/>
  <c r="AS25" i="5"/>
  <c r="AQ25" i="5"/>
  <c r="N25" i="5" s="1"/>
  <c r="AP25" i="5"/>
  <c r="AO25" i="5"/>
  <c r="R25" i="5"/>
  <c r="AF25" i="5" s="1"/>
  <c r="I25" i="5"/>
  <c r="AY24" i="5"/>
  <c r="AW24" i="5"/>
  <c r="AE24" i="5" s="1"/>
  <c r="AV24" i="5"/>
  <c r="AU24" i="5"/>
  <c r="AS24" i="5"/>
  <c r="AQ24" i="5"/>
  <c r="N24" i="5" s="1"/>
  <c r="AP24" i="5"/>
  <c r="AO24" i="5"/>
  <c r="R24" i="5"/>
  <c r="AF24" i="5" s="1"/>
  <c r="I24" i="5"/>
  <c r="AY23" i="5"/>
  <c r="AW23" i="5"/>
  <c r="AE23" i="5" s="1"/>
  <c r="AV23" i="5"/>
  <c r="AU23" i="5"/>
  <c r="AS23" i="5"/>
  <c r="AQ23" i="5"/>
  <c r="N23" i="5" s="1"/>
  <c r="AP23" i="5"/>
  <c r="AO23" i="5"/>
  <c r="R23" i="5"/>
  <c r="AF23" i="5" s="1"/>
  <c r="I23" i="5"/>
  <c r="AY22" i="5"/>
  <c r="AW22" i="5"/>
  <c r="AE22" i="5" s="1"/>
  <c r="AV22" i="5"/>
  <c r="AU22" i="5"/>
  <c r="AS22" i="5"/>
  <c r="AQ22" i="5"/>
  <c r="N22" i="5" s="1"/>
  <c r="AP22" i="5"/>
  <c r="AO22" i="5"/>
  <c r="R22" i="5"/>
  <c r="I22" i="5"/>
  <c r="D21" i="5"/>
  <c r="AH20" i="5"/>
  <c r="AD20" i="5"/>
  <c r="T20" i="5"/>
  <c r="M20" i="5"/>
  <c r="X21" i="4"/>
  <c r="T519" i="2"/>
  <c r="V519" i="2" s="1"/>
  <c r="K518" i="2"/>
  <c r="M518" i="2" s="1"/>
  <c r="T517" i="2"/>
  <c r="T516" i="2"/>
  <c r="V516" i="2" s="1"/>
  <c r="K514" i="2"/>
  <c r="M514" i="2" s="1"/>
  <c r="K510" i="2"/>
  <c r="M510" i="2" s="1"/>
  <c r="K507" i="2"/>
  <c r="M507" i="2" s="1"/>
  <c r="K504" i="2"/>
  <c r="T503" i="2"/>
  <c r="T502" i="2"/>
  <c r="K500" i="2"/>
  <c r="M500" i="2" s="1"/>
  <c r="T499" i="2"/>
  <c r="T498" i="2"/>
  <c r="K497" i="2"/>
  <c r="K496" i="2"/>
  <c r="M496" i="2" s="1"/>
  <c r="K494" i="2"/>
  <c r="K493" i="2"/>
  <c r="M493" i="2" s="1"/>
  <c r="T492" i="2"/>
  <c r="T491" i="2"/>
  <c r="V491" i="2" s="1"/>
  <c r="T489" i="2"/>
  <c r="K488" i="2"/>
  <c r="M488" i="2" s="1"/>
  <c r="K485" i="2"/>
  <c r="M485" i="2" s="1"/>
  <c r="K482" i="2"/>
  <c r="M482" i="2" s="1"/>
  <c r="K479" i="2"/>
  <c r="M479" i="2" s="1"/>
  <c r="K477" i="2"/>
  <c r="M477" i="2" s="1"/>
  <c r="K476" i="2"/>
  <c r="M476" i="2" s="1"/>
  <c r="K475" i="2"/>
  <c r="T474" i="2"/>
  <c r="T473" i="2"/>
  <c r="T472" i="2"/>
  <c r="V472" i="2" s="1"/>
  <c r="K471" i="2"/>
  <c r="M471" i="2" s="1"/>
  <c r="T470" i="2"/>
  <c r="K469" i="2"/>
  <c r="T467" i="2"/>
  <c r="T466" i="2"/>
  <c r="V466" i="2" s="1"/>
  <c r="K465" i="2"/>
  <c r="M465" i="2" s="1"/>
  <c r="K463" i="2"/>
  <c r="M463" i="2" s="1"/>
  <c r="K460" i="2"/>
  <c r="M460" i="2" s="1"/>
  <c r="T459" i="2"/>
  <c r="K457" i="2"/>
  <c r="M457" i="2" s="1"/>
  <c r="T456" i="2"/>
  <c r="T455" i="2"/>
  <c r="K454" i="2"/>
  <c r="M454" i="2" s="1"/>
  <c r="T453" i="2"/>
  <c r="T451" i="2"/>
  <c r="K450" i="2"/>
  <c r="T448" i="2"/>
  <c r="T447" i="2"/>
  <c r="V447" i="2" s="1"/>
  <c r="T446" i="2"/>
  <c r="T445" i="2"/>
  <c r="K444" i="2"/>
  <c r="T442" i="2"/>
  <c r="T441" i="2"/>
  <c r="V441" i="2" s="1"/>
  <c r="T440" i="2"/>
  <c r="T438" i="2"/>
  <c r="T437" i="2"/>
  <c r="T435" i="2"/>
  <c r="V435" i="2" s="1"/>
  <c r="K434" i="2"/>
  <c r="T432" i="2"/>
  <c r="V432" i="2" s="1"/>
  <c r="T431" i="2"/>
  <c r="T430" i="2"/>
  <c r="K429" i="2"/>
  <c r="T427" i="2"/>
  <c r="K425" i="2"/>
  <c r="T424" i="2"/>
  <c r="T423" i="2"/>
  <c r="T422" i="2"/>
  <c r="V422" i="2" s="1"/>
  <c r="T421" i="2"/>
  <c r="T420" i="2"/>
  <c r="T419" i="2"/>
  <c r="T418" i="2"/>
  <c r="K416" i="2"/>
  <c r="K412" i="2"/>
  <c r="T410" i="2"/>
  <c r="V410" i="2" s="1"/>
  <c r="K407" i="2"/>
  <c r="T406" i="2"/>
  <c r="K405" i="2"/>
  <c r="M405" i="2" s="1"/>
  <c r="T404" i="2"/>
  <c r="V404" i="2" s="1"/>
  <c r="K403" i="2"/>
  <c r="M403" i="2" s="1"/>
  <c r="T402" i="2"/>
  <c r="T400" i="2"/>
  <c r="K399" i="2"/>
  <c r="T398" i="2"/>
  <c r="T397" i="2"/>
  <c r="T396" i="2"/>
  <c r="T395" i="2"/>
  <c r="K394" i="2"/>
  <c r="M394" i="2" s="1"/>
  <c r="T393" i="2"/>
  <c r="T390" i="2"/>
  <c r="T389" i="2"/>
  <c r="T388" i="2"/>
  <c r="T387" i="2"/>
  <c r="K385" i="2"/>
  <c r="M385" i="2" s="1"/>
  <c r="T384" i="2"/>
  <c r="K381" i="2"/>
  <c r="M381" i="2" s="1"/>
  <c r="K379" i="2"/>
  <c r="T378" i="2"/>
  <c r="T377" i="2"/>
  <c r="T374" i="2"/>
  <c r="K373" i="2"/>
  <c r="M373" i="2" s="1"/>
  <c r="T372" i="2"/>
  <c r="K370" i="2"/>
  <c r="T369" i="2"/>
  <c r="K368" i="2"/>
  <c r="M368" i="2" s="1"/>
  <c r="K367" i="2"/>
  <c r="T366" i="2"/>
  <c r="T365" i="2"/>
  <c r="K364" i="2"/>
  <c r="T363" i="2"/>
  <c r="V363" i="2" s="1"/>
  <c r="T362" i="2"/>
  <c r="T361" i="2"/>
  <c r="V361" i="2" s="1"/>
  <c r="T360" i="2"/>
  <c r="K359" i="2"/>
  <c r="M359" i="2" s="1"/>
  <c r="T357" i="2"/>
  <c r="T356" i="2"/>
  <c r="T355" i="2"/>
  <c r="T353" i="2"/>
  <c r="T352" i="2"/>
  <c r="K351" i="2"/>
  <c r="M351" i="2" s="1"/>
  <c r="T349" i="2"/>
  <c r="K347" i="2"/>
  <c r="M347" i="2" s="1"/>
  <c r="T346" i="2"/>
  <c r="K345" i="2"/>
  <c r="M345" i="2" s="1"/>
  <c r="T344" i="2"/>
  <c r="T343" i="2"/>
  <c r="K342" i="2"/>
  <c r="T341" i="2"/>
  <c r="T340" i="2"/>
  <c r="K339" i="2"/>
  <c r="M339" i="2" s="1"/>
  <c r="T338" i="2"/>
  <c r="T337" i="2"/>
  <c r="K336" i="2"/>
  <c r="M336" i="2" s="1"/>
  <c r="K335" i="2"/>
  <c r="K334" i="2"/>
  <c r="T332" i="2"/>
  <c r="K331" i="2"/>
  <c r="M331" i="2" s="1"/>
  <c r="T330" i="2"/>
  <c r="T329" i="2"/>
  <c r="V329" i="2" s="1"/>
  <c r="T328" i="2"/>
  <c r="T327" i="2"/>
  <c r="K326" i="2"/>
  <c r="T325" i="2"/>
  <c r="T324" i="2"/>
  <c r="K322" i="2"/>
  <c r="M322" i="2" s="1"/>
  <c r="T321" i="2"/>
  <c r="K320" i="2"/>
  <c r="T319" i="2"/>
  <c r="T318" i="2"/>
  <c r="K316" i="2"/>
  <c r="K315" i="2"/>
  <c r="M315" i="2" s="1"/>
  <c r="K314" i="2"/>
  <c r="M314" i="2" s="1"/>
  <c r="K313" i="2"/>
  <c r="M313" i="2" s="1"/>
  <c r="K312" i="2"/>
  <c r="M312" i="2" s="1"/>
  <c r="T310" i="2"/>
  <c r="T309" i="2"/>
  <c r="K307" i="2"/>
  <c r="T305" i="2"/>
  <c r="K303" i="2"/>
  <c r="T302" i="2"/>
  <c r="T301" i="2"/>
  <c r="T300" i="2"/>
  <c r="K298" i="2"/>
  <c r="T297" i="2"/>
  <c r="K295" i="2"/>
  <c r="M295" i="2" s="1"/>
  <c r="K294" i="2"/>
  <c r="M294" i="2" s="1"/>
  <c r="K293" i="2"/>
  <c r="M293" i="2" s="1"/>
  <c r="K291" i="2"/>
  <c r="T290" i="2"/>
  <c r="T288" i="2"/>
  <c r="K286" i="2"/>
  <c r="T285" i="2"/>
  <c r="T284" i="2"/>
  <c r="K283" i="2"/>
  <c r="T282" i="2"/>
  <c r="T281" i="2"/>
  <c r="T279" i="2"/>
  <c r="K278" i="2"/>
  <c r="M278" i="2" s="1"/>
  <c r="K276" i="2"/>
  <c r="M276" i="2" s="1"/>
  <c r="T275" i="2"/>
  <c r="T273" i="2"/>
  <c r="K272" i="2"/>
  <c r="M272" i="2" s="1"/>
  <c r="T271" i="2"/>
  <c r="T270" i="2"/>
  <c r="V270" i="2" s="1"/>
  <c r="T268" i="2"/>
  <c r="T266" i="2"/>
  <c r="T265" i="2"/>
  <c r="K264" i="2"/>
  <c r="M264" i="2" s="1"/>
  <c r="K263" i="2"/>
  <c r="M263" i="2" s="1"/>
  <c r="T262" i="2"/>
  <c r="K261" i="2"/>
  <c r="T259" i="2"/>
  <c r="K258" i="2"/>
  <c r="M258" i="2" s="1"/>
  <c r="T257" i="2"/>
  <c r="T256" i="2"/>
  <c r="K254" i="2"/>
  <c r="M254" i="2" s="1"/>
  <c r="T251" i="2"/>
  <c r="T250" i="2"/>
  <c r="K248" i="2"/>
  <c r="M248" i="2" s="1"/>
  <c r="T247" i="2"/>
  <c r="T246" i="2"/>
  <c r="K245" i="2"/>
  <c r="K244" i="2"/>
  <c r="T243" i="2"/>
  <c r="T242" i="2"/>
  <c r="K239" i="2"/>
  <c r="M239" i="2" s="1"/>
  <c r="K238" i="2"/>
  <c r="T235" i="2"/>
  <c r="V235" i="2" s="1"/>
  <c r="T234" i="2"/>
  <c r="T233" i="2"/>
  <c r="V233" i="2" s="1"/>
  <c r="T232" i="2"/>
  <c r="T231" i="2"/>
  <c r="T229" i="2"/>
  <c r="K228" i="2"/>
  <c r="K227" i="2"/>
  <c r="T226" i="2"/>
  <c r="V226" i="2" s="1"/>
  <c r="T225" i="2"/>
  <c r="V225" i="2" s="1"/>
  <c r="T224" i="2"/>
  <c r="K222" i="2"/>
  <c r="M222" i="2" s="1"/>
  <c r="T221" i="2"/>
  <c r="K219" i="2"/>
  <c r="M219" i="2" s="1"/>
  <c r="T218" i="2"/>
  <c r="K216" i="2"/>
  <c r="M216" i="2" s="1"/>
  <c r="T215" i="2"/>
  <c r="T214" i="2"/>
  <c r="T213" i="2"/>
  <c r="T212" i="2"/>
  <c r="T211" i="2"/>
  <c r="T209" i="2"/>
  <c r="K208" i="2"/>
  <c r="T207" i="2"/>
  <c r="V207" i="2" s="1"/>
  <c r="K205" i="2"/>
  <c r="K204" i="2"/>
  <c r="K203" i="2"/>
  <c r="M203" i="2" s="1"/>
  <c r="K201" i="2"/>
  <c r="T199" i="2"/>
  <c r="K197" i="2"/>
  <c r="M197" i="2" s="1"/>
  <c r="T196" i="2"/>
  <c r="K194" i="2"/>
  <c r="M194" i="2" s="1"/>
  <c r="T193" i="2"/>
  <c r="T191" i="2"/>
  <c r="T190" i="2"/>
  <c r="T189" i="2"/>
  <c r="K188" i="2"/>
  <c r="M188" i="2" s="1"/>
  <c r="T187" i="2"/>
  <c r="T186" i="2"/>
  <c r="K185" i="2"/>
  <c r="M185" i="2" s="1"/>
  <c r="K184" i="2"/>
  <c r="K183" i="2"/>
  <c r="M183" i="2" s="1"/>
  <c r="T181" i="2"/>
  <c r="K179" i="2"/>
  <c r="M179" i="2" s="1"/>
  <c r="T178" i="2"/>
  <c r="V178" i="2" s="1"/>
  <c r="K177" i="2"/>
  <c r="T175" i="2"/>
  <c r="K169" i="2"/>
  <c r="M169" i="2" s="1"/>
  <c r="T168" i="2"/>
  <c r="T167" i="2"/>
  <c r="K166" i="2"/>
  <c r="M166" i="2" s="1"/>
  <c r="T165" i="2"/>
  <c r="T164" i="2"/>
  <c r="T163" i="2"/>
  <c r="V163" i="2" s="1"/>
  <c r="T161" i="2"/>
  <c r="K160" i="2"/>
  <c r="T159" i="2"/>
  <c r="T158" i="2"/>
  <c r="K157" i="2"/>
  <c r="T156" i="2"/>
  <c r="V156" i="2" s="1"/>
  <c r="T155" i="2"/>
  <c r="K154" i="2"/>
  <c r="T152" i="2"/>
  <c r="K151" i="2"/>
  <c r="T150" i="2"/>
  <c r="T149" i="2"/>
  <c r="K148" i="2"/>
  <c r="K147" i="2"/>
  <c r="M147" i="2" s="1"/>
  <c r="T146" i="2"/>
  <c r="K145" i="2"/>
  <c r="T144" i="2"/>
  <c r="K143" i="2"/>
  <c r="M143" i="2" s="1"/>
  <c r="T141" i="2"/>
  <c r="T140" i="2"/>
  <c r="K138" i="2"/>
  <c r="M138" i="2" s="1"/>
  <c r="T137" i="2"/>
  <c r="K135" i="2"/>
  <c r="T133" i="2"/>
  <c r="K132" i="2"/>
  <c r="T131" i="2"/>
  <c r="T130" i="2"/>
  <c r="T129" i="2"/>
  <c r="V129" i="2" s="1"/>
  <c r="T128" i="2"/>
  <c r="K126" i="2"/>
  <c r="K125" i="2"/>
  <c r="M125" i="2" s="1"/>
  <c r="T124" i="2"/>
  <c r="K123" i="2"/>
  <c r="T121" i="2"/>
  <c r="K120" i="2"/>
  <c r="M120" i="2" s="1"/>
  <c r="T119" i="2"/>
  <c r="T118" i="2"/>
  <c r="T117" i="2"/>
  <c r="V117" i="2" s="1"/>
  <c r="T116" i="2"/>
  <c r="T115" i="2"/>
  <c r="K114" i="2"/>
  <c r="T113" i="2"/>
  <c r="T112" i="2"/>
  <c r="T111" i="2"/>
  <c r="K108" i="2"/>
  <c r="M108" i="2" s="1"/>
  <c r="K107" i="2"/>
  <c r="M107" i="2" s="1"/>
  <c r="T105" i="2"/>
  <c r="K104" i="2"/>
  <c r="M104" i="2" s="1"/>
  <c r="T102" i="2"/>
  <c r="T101" i="2"/>
  <c r="K99" i="2"/>
  <c r="M99" i="2" s="1"/>
  <c r="T94" i="2"/>
  <c r="T93" i="2"/>
  <c r="K92" i="2"/>
  <c r="M92" i="2" s="1"/>
  <c r="T91" i="2"/>
  <c r="T90" i="2"/>
  <c r="K89" i="2"/>
  <c r="T88" i="2"/>
  <c r="T87" i="2"/>
  <c r="K86" i="2"/>
  <c r="M86" i="2" s="1"/>
  <c r="T85" i="2"/>
  <c r="T84" i="2"/>
  <c r="K83" i="2"/>
  <c r="K82" i="2"/>
  <c r="M82" i="2" s="1"/>
  <c r="T81" i="2"/>
  <c r="K80" i="2"/>
  <c r="T78" i="2"/>
  <c r="K77" i="2"/>
  <c r="T76" i="2"/>
  <c r="T75" i="2"/>
  <c r="K74" i="2"/>
  <c r="K73" i="2"/>
  <c r="M73" i="2" s="1"/>
  <c r="T72" i="2"/>
  <c r="T70" i="2"/>
  <c r="V70" i="2" s="1"/>
  <c r="K67" i="2"/>
  <c r="M67" i="2" s="1"/>
  <c r="K66" i="2"/>
  <c r="M66" i="2" s="1"/>
  <c r="T65" i="2"/>
  <c r="T63" i="2"/>
  <c r="K61" i="2"/>
  <c r="T60" i="2"/>
  <c r="K58" i="2"/>
  <c r="T57" i="2"/>
  <c r="K55" i="2"/>
  <c r="T54" i="2"/>
  <c r="T52" i="2"/>
  <c r="K49" i="2"/>
  <c r="K48" i="2"/>
  <c r="M48" i="2" s="1"/>
  <c r="K46" i="2"/>
  <c r="T45" i="2"/>
  <c r="T43" i="2"/>
  <c r="K42" i="2"/>
  <c r="M42" i="2" s="1"/>
  <c r="K41" i="2"/>
  <c r="M41" i="2" s="1"/>
  <c r="K39" i="2"/>
  <c r="T38" i="2"/>
  <c r="T36" i="2"/>
  <c r="V36" i="2" s="1"/>
  <c r="T35" i="2"/>
  <c r="K33" i="2"/>
  <c r="M33" i="2" s="1"/>
  <c r="T32" i="2"/>
  <c r="T30" i="2"/>
  <c r="T29" i="2"/>
  <c r="T27" i="2"/>
  <c r="V27" i="2" s="1"/>
  <c r="T26" i="2"/>
  <c r="T25" i="2"/>
  <c r="K24" i="2"/>
  <c r="K21" i="2"/>
  <c r="G11" i="1"/>
  <c r="N10" i="1"/>
  <c r="M10" i="1"/>
  <c r="K10" i="1"/>
  <c r="I10" i="1"/>
  <c r="E10" i="1"/>
  <c r="J10" i="1" s="1"/>
  <c r="N9" i="1"/>
  <c r="M9" i="1"/>
  <c r="K9" i="1"/>
  <c r="I9" i="1"/>
  <c r="E9" i="1"/>
  <c r="J9" i="1" s="1"/>
  <c r="N8" i="1"/>
  <c r="M8" i="1"/>
  <c r="K8" i="1" s="1"/>
  <c r="I8" i="1"/>
  <c r="E8" i="1"/>
  <c r="J8" i="1" s="1"/>
  <c r="P7" i="1"/>
  <c r="N7" i="1"/>
  <c r="M7" i="1"/>
  <c r="K7" i="1" s="1"/>
  <c r="J7" i="1"/>
  <c r="I7" i="1"/>
  <c r="N6" i="1"/>
  <c r="M6" i="1"/>
  <c r="K6" i="1" s="1"/>
  <c r="J6" i="1"/>
  <c r="I6" i="1"/>
  <c r="T27" i="5" l="1"/>
  <c r="AT30" i="5"/>
  <c r="S30" i="5"/>
  <c r="AT29" i="5"/>
  <c r="S29" i="5"/>
  <c r="AD29" i="5" s="1"/>
  <c r="AT24" i="5"/>
  <c r="S24" i="5"/>
  <c r="AD24" i="5" s="1"/>
  <c r="AH24" i="5" s="1"/>
  <c r="AJ24" i="5" s="1"/>
  <c r="AT23" i="5"/>
  <c r="S23" i="5"/>
  <c r="AT22" i="5"/>
  <c r="S22" i="5"/>
  <c r="AT28" i="5"/>
  <c r="S28" i="5"/>
  <c r="AD28" i="5" s="1"/>
  <c r="AH28" i="5" s="1"/>
  <c r="AT27" i="5"/>
  <c r="S27" i="5"/>
  <c r="AT26" i="5"/>
  <c r="S26" i="5"/>
  <c r="AD26" i="5" s="1"/>
  <c r="AH26" i="5" s="1"/>
  <c r="AT25" i="5"/>
  <c r="S25" i="5"/>
  <c r="AD25" i="5" s="1"/>
  <c r="AH25" i="5" s="1"/>
  <c r="AI25" i="5" s="1"/>
  <c r="AT31" i="5"/>
  <c r="S31" i="5"/>
  <c r="AD31" i="5" s="1"/>
  <c r="AH31" i="5" s="1"/>
  <c r="AR29" i="5"/>
  <c r="AX31" i="5"/>
  <c r="AR24" i="5"/>
  <c r="AX29" i="5"/>
  <c r="AX26" i="5"/>
  <c r="AX24" i="5"/>
  <c r="AR27" i="5"/>
  <c r="AR28" i="5"/>
  <c r="AX28" i="5"/>
  <c r="AX27" i="5"/>
  <c r="AR23" i="5"/>
  <c r="AX22" i="5"/>
  <c r="AR22" i="5"/>
  <c r="AX23" i="5"/>
  <c r="AR26" i="5"/>
  <c r="AX30" i="5"/>
  <c r="AR31" i="5"/>
  <c r="AX25" i="5"/>
  <c r="AZ24" i="5"/>
  <c r="AZ30" i="5"/>
  <c r="AD30" i="5"/>
  <c r="AH30" i="5" s="1"/>
  <c r="AJ30" i="5" s="1"/>
  <c r="AZ26" i="5"/>
  <c r="AZ25" i="5"/>
  <c r="AZ31" i="5"/>
  <c r="AZ23" i="5"/>
  <c r="AD23" i="5"/>
  <c r="AH23" i="5" s="1"/>
  <c r="AJ23" i="5" s="1"/>
  <c r="AZ29" i="5"/>
  <c r="AZ28" i="5"/>
  <c r="AZ27" i="5"/>
  <c r="AD27" i="5"/>
  <c r="AR50" i="5"/>
  <c r="AX49" i="5"/>
  <c r="AX46" i="5"/>
  <c r="AX47" i="5"/>
  <c r="AR46" i="5"/>
  <c r="AR47" i="5"/>
  <c r="AX50" i="5"/>
  <c r="AX48" i="5"/>
  <c r="AR48" i="5"/>
  <c r="BI62" i="17"/>
  <c r="AI28" i="4" s="1"/>
  <c r="BI40" i="17"/>
  <c r="AH29" i="4" s="1"/>
  <c r="BI63" i="17"/>
  <c r="AR63" i="17" s="1"/>
  <c r="BD70" i="17"/>
  <c r="BD47" i="17"/>
  <c r="BE68" i="17"/>
  <c r="BE45" i="17"/>
  <c r="BE70" i="17"/>
  <c r="BE47" i="17"/>
  <c r="BD66" i="17"/>
  <c r="BD43" i="17"/>
  <c r="BE44" i="17"/>
  <c r="BI44" i="17" s="1"/>
  <c r="BE67" i="17"/>
  <c r="BI67" i="17" s="1"/>
  <c r="BE72" i="17"/>
  <c r="BE49" i="17"/>
  <c r="BD72" i="17"/>
  <c r="BD49" i="17"/>
  <c r="BE46" i="17"/>
  <c r="BI46" i="17" s="1"/>
  <c r="BE69" i="17"/>
  <c r="BI69" i="17" s="1"/>
  <c r="BE74" i="17"/>
  <c r="BI74" i="17" s="1"/>
  <c r="AI40" i="4" s="1"/>
  <c r="BE51" i="17"/>
  <c r="BI51" i="17" s="1"/>
  <c r="BD68" i="17"/>
  <c r="BD45" i="17"/>
  <c r="BE64" i="17"/>
  <c r="BI64" i="17" s="1"/>
  <c r="BE41" i="17"/>
  <c r="BI41" i="17" s="1"/>
  <c r="X19" i="6"/>
  <c r="X37" i="6"/>
  <c r="X33" i="6"/>
  <c r="D56" i="17"/>
  <c r="D57" i="17"/>
  <c r="AO47" i="5"/>
  <c r="U47" i="5" s="1"/>
  <c r="AO46" i="5"/>
  <c r="U46" i="5" s="1"/>
  <c r="D94" i="17"/>
  <c r="E94" i="17" s="1"/>
  <c r="AU46" i="5"/>
  <c r="AI46" i="5" s="1"/>
  <c r="AU47" i="5"/>
  <c r="AI47" i="5" s="1"/>
  <c r="AP94" i="17"/>
  <c r="AQ94" i="17" s="1"/>
  <c r="AP96" i="17"/>
  <c r="AQ96" i="17" s="1"/>
  <c r="AP97" i="17"/>
  <c r="AP98" i="17"/>
  <c r="AP95" i="17"/>
  <c r="D95" i="17"/>
  <c r="D96" i="17"/>
  <c r="D97" i="17"/>
  <c r="AP63" i="17"/>
  <c r="AP67" i="17"/>
  <c r="AP60" i="17"/>
  <c r="AP68" i="17"/>
  <c r="AP73" i="17"/>
  <c r="AP72" i="17"/>
  <c r="AP69" i="17"/>
  <c r="AP70" i="17"/>
  <c r="AP66" i="17"/>
  <c r="AP57" i="17"/>
  <c r="AP71" i="17"/>
  <c r="AP65" i="17"/>
  <c r="AP56" i="17"/>
  <c r="AP75" i="17"/>
  <c r="AP61" i="17"/>
  <c r="AP64" i="17"/>
  <c r="AP58" i="17"/>
  <c r="AP59" i="17"/>
  <c r="AP62" i="17"/>
  <c r="AQ62" i="17" s="1"/>
  <c r="AP74" i="17"/>
  <c r="D65" i="17"/>
  <c r="D66" i="17"/>
  <c r="D69" i="17"/>
  <c r="D60" i="17"/>
  <c r="D58" i="17"/>
  <c r="D70" i="17"/>
  <c r="D59" i="17"/>
  <c r="D75" i="17"/>
  <c r="D63" i="17"/>
  <c r="D64" i="17"/>
  <c r="D62" i="17"/>
  <c r="D68" i="17"/>
  <c r="D67" i="17"/>
  <c r="D61" i="17"/>
  <c r="D74" i="17"/>
  <c r="D72" i="17"/>
  <c r="D71" i="17"/>
  <c r="D73" i="17"/>
  <c r="X21" i="6"/>
  <c r="X32" i="6"/>
  <c r="X28" i="6"/>
  <c r="X24" i="6"/>
  <c r="X35" i="6"/>
  <c r="X20" i="6"/>
  <c r="X31" i="6"/>
  <c r="X27" i="6"/>
  <c r="AO48" i="5"/>
  <c r="U48" i="5" s="1"/>
  <c r="Y39" i="8"/>
  <c r="AC30" i="7"/>
  <c r="P39" i="7"/>
  <c r="Y38" i="8"/>
  <c r="P32" i="7"/>
  <c r="P38" i="7"/>
  <c r="N50" i="8"/>
  <c r="N51" i="8"/>
  <c r="Y31" i="8"/>
  <c r="Y32" i="8"/>
  <c r="P36" i="7"/>
  <c r="N33" i="8"/>
  <c r="Y34" i="8"/>
  <c r="P30" i="7"/>
  <c r="P35" i="7"/>
  <c r="AC36" i="7"/>
  <c r="P33" i="7"/>
  <c r="Y51" i="8"/>
  <c r="AC39" i="7"/>
  <c r="Y33" i="8"/>
  <c r="P37" i="7"/>
  <c r="AC32" i="7"/>
  <c r="Y30" i="8"/>
  <c r="N38" i="8"/>
  <c r="N36" i="8"/>
  <c r="N37" i="8"/>
  <c r="N34" i="8"/>
  <c r="N30" i="8"/>
  <c r="AC35" i="7"/>
  <c r="N39" i="8"/>
  <c r="AC38" i="7"/>
  <c r="Y35" i="8"/>
  <c r="N31" i="8"/>
  <c r="AB31" i="8" s="1"/>
  <c r="Y50" i="8"/>
  <c r="Y37" i="8"/>
  <c r="P31" i="7"/>
  <c r="AC34" i="7"/>
  <c r="Y36" i="8"/>
  <c r="AC37" i="7"/>
  <c r="AC33" i="7"/>
  <c r="P34" i="7"/>
  <c r="N32" i="8"/>
  <c r="AC31" i="7"/>
  <c r="N35" i="8"/>
  <c r="AU50" i="5"/>
  <c r="AI50" i="5" s="1"/>
  <c r="AL50" i="5" s="1"/>
  <c r="P51" i="7"/>
  <c r="P52" i="7"/>
  <c r="AC52" i="7"/>
  <c r="AC51" i="7"/>
  <c r="P50" i="7"/>
  <c r="AC50" i="7"/>
  <c r="L20" i="2"/>
  <c r="AU48" i="5"/>
  <c r="AI48" i="5" s="1"/>
  <c r="D33" i="17"/>
  <c r="AP89" i="17"/>
  <c r="AQ89" i="17" s="1"/>
  <c r="AP91" i="17"/>
  <c r="AP88" i="17"/>
  <c r="D90" i="17"/>
  <c r="AP87" i="17"/>
  <c r="AQ87" i="17" s="1"/>
  <c r="D89" i="17"/>
  <c r="E89" i="17" s="1"/>
  <c r="AP90" i="17"/>
  <c r="D87" i="17"/>
  <c r="E87" i="17" s="1"/>
  <c r="D91" i="17"/>
  <c r="D88" i="17"/>
  <c r="U20" i="2"/>
  <c r="L533" i="2"/>
  <c r="U535" i="2"/>
  <c r="U534" i="2"/>
  <c r="L536" i="2"/>
  <c r="U533" i="2"/>
  <c r="L532" i="2"/>
  <c r="L534" i="2"/>
  <c r="L535" i="2"/>
  <c r="U532" i="2"/>
  <c r="U536" i="2"/>
  <c r="AP50" i="17"/>
  <c r="AP44" i="17"/>
  <c r="AP38" i="17"/>
  <c r="D34" i="17"/>
  <c r="D40" i="17"/>
  <c r="D46" i="17"/>
  <c r="D52" i="17"/>
  <c r="D37" i="17"/>
  <c r="AP40" i="17"/>
  <c r="D50" i="17"/>
  <c r="AP45" i="17"/>
  <c r="D45" i="17"/>
  <c r="AP43" i="17"/>
  <c r="D35" i="17"/>
  <c r="D41" i="17"/>
  <c r="D49" i="17"/>
  <c r="D44" i="17"/>
  <c r="AP39" i="17"/>
  <c r="AP49" i="17"/>
  <c r="AP37" i="17"/>
  <c r="D47" i="17"/>
  <c r="AP46" i="17"/>
  <c r="AP51" i="17"/>
  <c r="D39" i="17"/>
  <c r="AP48" i="17"/>
  <c r="AP42" i="17"/>
  <c r="AP36" i="17"/>
  <c r="D36" i="17"/>
  <c r="D42" i="17"/>
  <c r="D48" i="17"/>
  <c r="AP52" i="17"/>
  <c r="D38" i="17"/>
  <c r="D51" i="17"/>
  <c r="AP47" i="17"/>
  <c r="AP41" i="17"/>
  <c r="AP35" i="17"/>
  <c r="D43" i="17"/>
  <c r="AP34" i="17"/>
  <c r="AP33" i="17"/>
  <c r="X22" i="6"/>
  <c r="X26" i="6"/>
  <c r="X30" i="6"/>
  <c r="X34" i="6"/>
  <c r="X38" i="6"/>
  <c r="AA38" i="6" s="1"/>
  <c r="BI71" i="17"/>
  <c r="AI37" i="4" s="1"/>
  <c r="BI52" i="17"/>
  <c r="AH41" i="4" s="1"/>
  <c r="BI42" i="17"/>
  <c r="BI38" i="17"/>
  <c r="AH27" i="4" s="1"/>
  <c r="BI73" i="17"/>
  <c r="AI39" i="4" s="1"/>
  <c r="BI48" i="17"/>
  <c r="AR48" i="17" s="1"/>
  <c r="BI61" i="17"/>
  <c r="BI50" i="17"/>
  <c r="AH39" i="4" s="1"/>
  <c r="BI39" i="17"/>
  <c r="AH28" i="4" s="1"/>
  <c r="BI65" i="17"/>
  <c r="BI75" i="17"/>
  <c r="AI41" i="4" s="1"/>
  <c r="BE20" i="17"/>
  <c r="R66" i="17"/>
  <c r="R43" i="17"/>
  <c r="AA20" i="7"/>
  <c r="AA19" i="7" s="1"/>
  <c r="N19" i="7"/>
  <c r="P20" i="7"/>
  <c r="M24" i="8"/>
  <c r="O24" i="8" s="1"/>
  <c r="M28" i="8"/>
  <c r="O28" i="8" s="1"/>
  <c r="M21" i="8"/>
  <c r="N21" i="8" s="1"/>
  <c r="M23" i="8"/>
  <c r="N23" i="8" s="1"/>
  <c r="M27" i="8"/>
  <c r="N27" i="8" s="1"/>
  <c r="M29" i="8"/>
  <c r="O29" i="8" s="1"/>
  <c r="M26" i="8"/>
  <c r="O26" i="8" s="1"/>
  <c r="AF22" i="5"/>
  <c r="T22" i="5"/>
  <c r="M37" i="6"/>
  <c r="AA37" i="6" s="1"/>
  <c r="M24" i="6"/>
  <c r="M19" i="6"/>
  <c r="AA19" i="6" s="1"/>
  <c r="M31" i="6"/>
  <c r="N25" i="8"/>
  <c r="O25" i="8"/>
  <c r="X29" i="8"/>
  <c r="M36" i="6"/>
  <c r="AA36" i="6" s="1"/>
  <c r="M21" i="6"/>
  <c r="M30" i="6"/>
  <c r="M20" i="6"/>
  <c r="AA20" i="6" s="1"/>
  <c r="M25" i="6"/>
  <c r="AA25" i="6" s="1"/>
  <c r="M23" i="6"/>
  <c r="AA23" i="6" s="1"/>
  <c r="M35" i="6"/>
  <c r="AA35" i="6" s="1"/>
  <c r="M22" i="6"/>
  <c r="M34" i="6"/>
  <c r="M33" i="6"/>
  <c r="AA33" i="6" s="1"/>
  <c r="M32" i="6"/>
  <c r="G8" i="6"/>
  <c r="I8" i="6" s="1"/>
  <c r="J8" i="6" s="1"/>
  <c r="M29" i="6"/>
  <c r="AA29" i="6" s="1"/>
  <c r="M28" i="6"/>
  <c r="M27" i="6"/>
  <c r="M26" i="6"/>
  <c r="O22" i="7"/>
  <c r="Q22" i="7" s="1"/>
  <c r="O28" i="7"/>
  <c r="AF29" i="5"/>
  <c r="T28" i="5"/>
  <c r="AF27" i="5"/>
  <c r="V29" i="5"/>
  <c r="T25" i="5"/>
  <c r="U25" i="5" s="1"/>
  <c r="L24" i="2"/>
  <c r="M24" i="2"/>
  <c r="U396" i="2"/>
  <c r="V396" i="2"/>
  <c r="U121" i="2"/>
  <c r="V121" i="2"/>
  <c r="U181" i="2"/>
  <c r="V181" i="2"/>
  <c r="U325" i="2"/>
  <c r="V325" i="2"/>
  <c r="U397" i="2"/>
  <c r="V397" i="2"/>
  <c r="U445" i="2"/>
  <c r="V445" i="2"/>
  <c r="L74" i="2"/>
  <c r="M74" i="2"/>
  <c r="L326" i="2"/>
  <c r="M326" i="2"/>
  <c r="U398" i="2"/>
  <c r="V398" i="2"/>
  <c r="U446" i="2"/>
  <c r="V446" i="2"/>
  <c r="L39" i="2"/>
  <c r="M39" i="2"/>
  <c r="U63" i="2"/>
  <c r="V63" i="2"/>
  <c r="U75" i="2"/>
  <c r="V75" i="2"/>
  <c r="U87" i="2"/>
  <c r="V87" i="2"/>
  <c r="U111" i="2"/>
  <c r="V111" i="2"/>
  <c r="L123" i="2"/>
  <c r="M123" i="2"/>
  <c r="L135" i="2"/>
  <c r="M135" i="2"/>
  <c r="U159" i="2"/>
  <c r="V159" i="2"/>
  <c r="U231" i="2"/>
  <c r="V231" i="2"/>
  <c r="U243" i="2"/>
  <c r="V243" i="2"/>
  <c r="U279" i="2"/>
  <c r="V279" i="2"/>
  <c r="L291" i="2"/>
  <c r="M291" i="2"/>
  <c r="L303" i="2"/>
  <c r="M303" i="2"/>
  <c r="U327" i="2"/>
  <c r="V327" i="2"/>
  <c r="U387" i="2"/>
  <c r="V387" i="2"/>
  <c r="L399" i="2"/>
  <c r="M399" i="2"/>
  <c r="U423" i="2"/>
  <c r="V423" i="2"/>
  <c r="U459" i="2"/>
  <c r="V459" i="2"/>
  <c r="U360" i="2"/>
  <c r="V360" i="2"/>
  <c r="U492" i="2"/>
  <c r="V492" i="2"/>
  <c r="L61" i="2"/>
  <c r="M61" i="2"/>
  <c r="L157" i="2"/>
  <c r="M157" i="2"/>
  <c r="U265" i="2"/>
  <c r="V265" i="2"/>
  <c r="U349" i="2"/>
  <c r="V349" i="2"/>
  <c r="U266" i="2"/>
  <c r="V266" i="2"/>
  <c r="U338" i="2"/>
  <c r="V338" i="2"/>
  <c r="L434" i="2"/>
  <c r="M434" i="2"/>
  <c r="U470" i="2"/>
  <c r="V470" i="2"/>
  <c r="U76" i="2"/>
  <c r="V76" i="2"/>
  <c r="U124" i="2"/>
  <c r="V124" i="2"/>
  <c r="L160" i="2"/>
  <c r="M160" i="2"/>
  <c r="U196" i="2"/>
  <c r="V196" i="2"/>
  <c r="U256" i="2"/>
  <c r="V256" i="2"/>
  <c r="L316" i="2"/>
  <c r="M316" i="2"/>
  <c r="U340" i="2"/>
  <c r="V340" i="2"/>
  <c r="L364" i="2"/>
  <c r="M364" i="2"/>
  <c r="U400" i="2"/>
  <c r="V400" i="2"/>
  <c r="L412" i="2"/>
  <c r="M412" i="2"/>
  <c r="U424" i="2"/>
  <c r="V424" i="2"/>
  <c r="U448" i="2"/>
  <c r="V448" i="2"/>
  <c r="U229" i="2"/>
  <c r="V229" i="2"/>
  <c r="U337" i="2"/>
  <c r="V337" i="2"/>
  <c r="U38" i="2"/>
  <c r="V38" i="2"/>
  <c r="L494" i="2"/>
  <c r="M494" i="2"/>
  <c r="U52" i="2"/>
  <c r="V52" i="2"/>
  <c r="U88" i="2"/>
  <c r="V88" i="2"/>
  <c r="U112" i="2"/>
  <c r="V112" i="2"/>
  <c r="L148" i="2"/>
  <c r="M148" i="2"/>
  <c r="L184" i="2"/>
  <c r="M184" i="2"/>
  <c r="L208" i="2"/>
  <c r="M208" i="2"/>
  <c r="U232" i="2"/>
  <c r="V232" i="2"/>
  <c r="L244" i="2"/>
  <c r="M244" i="2"/>
  <c r="U268" i="2"/>
  <c r="V268" i="2"/>
  <c r="U328" i="2"/>
  <c r="V328" i="2"/>
  <c r="U352" i="2"/>
  <c r="V352" i="2"/>
  <c r="U388" i="2"/>
  <c r="V388" i="2"/>
  <c r="U29" i="2"/>
  <c r="V29" i="2"/>
  <c r="U65" i="2"/>
  <c r="V65" i="2"/>
  <c r="L77" i="2"/>
  <c r="M77" i="2"/>
  <c r="L89" i="2"/>
  <c r="M89" i="2"/>
  <c r="U101" i="2"/>
  <c r="V101" i="2"/>
  <c r="U113" i="2"/>
  <c r="V113" i="2"/>
  <c r="U137" i="2"/>
  <c r="V137" i="2"/>
  <c r="U149" i="2"/>
  <c r="V149" i="2"/>
  <c r="U161" i="2"/>
  <c r="V161" i="2"/>
  <c r="U209" i="2"/>
  <c r="V209" i="2"/>
  <c r="U221" i="2"/>
  <c r="V221" i="2"/>
  <c r="L245" i="2"/>
  <c r="M245" i="2"/>
  <c r="U257" i="2"/>
  <c r="V257" i="2"/>
  <c r="U281" i="2"/>
  <c r="V281" i="2"/>
  <c r="U305" i="2"/>
  <c r="V305" i="2"/>
  <c r="U341" i="2"/>
  <c r="V341" i="2"/>
  <c r="U353" i="2"/>
  <c r="V353" i="2"/>
  <c r="U365" i="2"/>
  <c r="V365" i="2"/>
  <c r="U377" i="2"/>
  <c r="V377" i="2"/>
  <c r="U389" i="2"/>
  <c r="V389" i="2"/>
  <c r="L425" i="2"/>
  <c r="M425" i="2"/>
  <c r="U437" i="2"/>
  <c r="V437" i="2"/>
  <c r="U473" i="2"/>
  <c r="V473" i="2"/>
  <c r="L497" i="2"/>
  <c r="M497" i="2"/>
  <c r="U84" i="2"/>
  <c r="V84" i="2"/>
  <c r="U168" i="2"/>
  <c r="V168" i="2"/>
  <c r="L204" i="2"/>
  <c r="M204" i="2"/>
  <c r="U288" i="2"/>
  <c r="V288" i="2"/>
  <c r="U372" i="2"/>
  <c r="V372" i="2"/>
  <c r="U420" i="2"/>
  <c r="V420" i="2"/>
  <c r="U456" i="2"/>
  <c r="V456" i="2"/>
  <c r="L504" i="2"/>
  <c r="M504" i="2"/>
  <c r="U25" i="2"/>
  <c r="V25" i="2"/>
  <c r="L469" i="2"/>
  <c r="M469" i="2"/>
  <c r="U26" i="2"/>
  <c r="V26" i="2"/>
  <c r="U158" i="2"/>
  <c r="V158" i="2"/>
  <c r="U290" i="2"/>
  <c r="V290" i="2"/>
  <c r="U102" i="2"/>
  <c r="V102" i="2"/>
  <c r="U186" i="2"/>
  <c r="V186" i="2"/>
  <c r="U234" i="2"/>
  <c r="V234" i="2"/>
  <c r="U282" i="2"/>
  <c r="V282" i="2"/>
  <c r="U318" i="2"/>
  <c r="V318" i="2"/>
  <c r="L342" i="2"/>
  <c r="M342" i="2"/>
  <c r="U390" i="2"/>
  <c r="V390" i="2"/>
  <c r="U438" i="2"/>
  <c r="V438" i="2"/>
  <c r="U474" i="2"/>
  <c r="V474" i="2"/>
  <c r="L55" i="2"/>
  <c r="M55" i="2"/>
  <c r="U115" i="2"/>
  <c r="V115" i="2"/>
  <c r="U175" i="2"/>
  <c r="V175" i="2"/>
  <c r="U211" i="2"/>
  <c r="V211" i="2"/>
  <c r="U247" i="2"/>
  <c r="V247" i="2"/>
  <c r="U319" i="2"/>
  <c r="V319" i="2"/>
  <c r="U355" i="2"/>
  <c r="V355" i="2"/>
  <c r="L367" i="2"/>
  <c r="M367" i="2"/>
  <c r="L379" i="2"/>
  <c r="M379" i="2"/>
  <c r="U427" i="2"/>
  <c r="V427" i="2"/>
  <c r="U451" i="2"/>
  <c r="V451" i="2"/>
  <c r="L475" i="2"/>
  <c r="M475" i="2"/>
  <c r="U32" i="2"/>
  <c r="V32" i="2"/>
  <c r="L80" i="2"/>
  <c r="M80" i="2"/>
  <c r="U116" i="2"/>
  <c r="V116" i="2"/>
  <c r="U128" i="2"/>
  <c r="V128" i="2"/>
  <c r="U140" i="2"/>
  <c r="V140" i="2"/>
  <c r="U152" i="2"/>
  <c r="V152" i="2"/>
  <c r="U164" i="2"/>
  <c r="V164" i="2"/>
  <c r="U212" i="2"/>
  <c r="V212" i="2"/>
  <c r="U224" i="2"/>
  <c r="V224" i="2"/>
  <c r="U284" i="2"/>
  <c r="V284" i="2"/>
  <c r="L320" i="2"/>
  <c r="M320" i="2"/>
  <c r="U332" i="2"/>
  <c r="V332" i="2"/>
  <c r="U344" i="2"/>
  <c r="V344" i="2"/>
  <c r="U356" i="2"/>
  <c r="V356" i="2"/>
  <c r="L416" i="2"/>
  <c r="M416" i="2"/>
  <c r="U440" i="2"/>
  <c r="V440" i="2"/>
  <c r="U144" i="2"/>
  <c r="V144" i="2"/>
  <c r="U384" i="2"/>
  <c r="V384" i="2"/>
  <c r="U85" i="2"/>
  <c r="V85" i="2"/>
  <c r="U193" i="2"/>
  <c r="V193" i="2"/>
  <c r="U421" i="2"/>
  <c r="V421" i="2"/>
  <c r="U242" i="2"/>
  <c r="V242" i="2"/>
  <c r="U362" i="2"/>
  <c r="V362" i="2"/>
  <c r="U30" i="2"/>
  <c r="V30" i="2"/>
  <c r="U78" i="2"/>
  <c r="V78" i="2"/>
  <c r="U150" i="2"/>
  <c r="V150" i="2"/>
  <c r="U366" i="2"/>
  <c r="V366" i="2"/>
  <c r="L450" i="2"/>
  <c r="M450" i="2"/>
  <c r="L151" i="2"/>
  <c r="M151" i="2"/>
  <c r="U199" i="2"/>
  <c r="V199" i="2"/>
  <c r="U259" i="2"/>
  <c r="V259" i="2"/>
  <c r="L21" i="2"/>
  <c r="M21" i="2"/>
  <c r="U45" i="2"/>
  <c r="V45" i="2"/>
  <c r="U57" i="2"/>
  <c r="V57" i="2"/>
  <c r="U81" i="2"/>
  <c r="V81" i="2"/>
  <c r="U93" i="2"/>
  <c r="V93" i="2"/>
  <c r="U105" i="2"/>
  <c r="V105" i="2"/>
  <c r="U141" i="2"/>
  <c r="V141" i="2"/>
  <c r="U165" i="2"/>
  <c r="V165" i="2"/>
  <c r="L177" i="2"/>
  <c r="M177" i="2"/>
  <c r="U189" i="2"/>
  <c r="V189" i="2"/>
  <c r="L201" i="2"/>
  <c r="M201" i="2"/>
  <c r="U213" i="2"/>
  <c r="V213" i="2"/>
  <c r="L261" i="2"/>
  <c r="M261" i="2"/>
  <c r="U273" i="2"/>
  <c r="V273" i="2"/>
  <c r="U285" i="2"/>
  <c r="V285" i="2"/>
  <c r="U297" i="2"/>
  <c r="V297" i="2"/>
  <c r="U309" i="2"/>
  <c r="V309" i="2"/>
  <c r="U321" i="2"/>
  <c r="V321" i="2"/>
  <c r="U357" i="2"/>
  <c r="V357" i="2"/>
  <c r="U369" i="2"/>
  <c r="V369" i="2"/>
  <c r="U393" i="2"/>
  <c r="V393" i="2"/>
  <c r="L429" i="2"/>
  <c r="M429" i="2"/>
  <c r="U453" i="2"/>
  <c r="V453" i="2"/>
  <c r="U489" i="2"/>
  <c r="V489" i="2"/>
  <c r="U72" i="2"/>
  <c r="V72" i="2"/>
  <c r="U324" i="2"/>
  <c r="V324" i="2"/>
  <c r="L49" i="2"/>
  <c r="M49" i="2"/>
  <c r="L145" i="2"/>
  <c r="M145" i="2"/>
  <c r="U301" i="2"/>
  <c r="V301" i="2"/>
  <c r="U218" i="2"/>
  <c r="V218" i="2"/>
  <c r="U374" i="2"/>
  <c r="V374" i="2"/>
  <c r="U90" i="2"/>
  <c r="V90" i="2"/>
  <c r="L126" i="2"/>
  <c r="M126" i="2"/>
  <c r="U246" i="2"/>
  <c r="V246" i="2"/>
  <c r="U330" i="2"/>
  <c r="V330" i="2"/>
  <c r="U402" i="2"/>
  <c r="V402" i="2"/>
  <c r="U91" i="2"/>
  <c r="V91" i="2"/>
  <c r="U187" i="2"/>
  <c r="V187" i="2"/>
  <c r="U271" i="2"/>
  <c r="V271" i="2"/>
  <c r="L307" i="2"/>
  <c r="M307" i="2"/>
  <c r="U499" i="2"/>
  <c r="V499" i="2"/>
  <c r="L46" i="2"/>
  <c r="M46" i="2"/>
  <c r="L58" i="2"/>
  <c r="M58" i="2"/>
  <c r="U94" i="2"/>
  <c r="V94" i="2"/>
  <c r="U118" i="2"/>
  <c r="V118" i="2"/>
  <c r="U130" i="2"/>
  <c r="V130" i="2"/>
  <c r="L154" i="2"/>
  <c r="M154" i="2"/>
  <c r="U190" i="2"/>
  <c r="V190" i="2"/>
  <c r="U214" i="2"/>
  <c r="V214" i="2"/>
  <c r="L238" i="2"/>
  <c r="M238" i="2"/>
  <c r="U250" i="2"/>
  <c r="V250" i="2"/>
  <c r="U262" i="2"/>
  <c r="V262" i="2"/>
  <c r="L286" i="2"/>
  <c r="M286" i="2"/>
  <c r="L298" i="2"/>
  <c r="M298" i="2"/>
  <c r="U310" i="2"/>
  <c r="V310" i="2"/>
  <c r="L334" i="2"/>
  <c r="M334" i="2"/>
  <c r="U346" i="2"/>
  <c r="V346" i="2"/>
  <c r="L370" i="2"/>
  <c r="M370" i="2"/>
  <c r="U406" i="2"/>
  <c r="V406" i="2"/>
  <c r="U418" i="2"/>
  <c r="V418" i="2"/>
  <c r="U430" i="2"/>
  <c r="V430" i="2"/>
  <c r="U442" i="2"/>
  <c r="V442" i="2"/>
  <c r="U502" i="2"/>
  <c r="V502" i="2"/>
  <c r="U60" i="2"/>
  <c r="V60" i="2"/>
  <c r="L132" i="2"/>
  <c r="M132" i="2"/>
  <c r="L228" i="2"/>
  <c r="M228" i="2"/>
  <c r="U300" i="2"/>
  <c r="V300" i="2"/>
  <c r="L444" i="2"/>
  <c r="M444" i="2"/>
  <c r="U133" i="2"/>
  <c r="V133" i="2"/>
  <c r="L205" i="2"/>
  <c r="M205" i="2"/>
  <c r="U517" i="2"/>
  <c r="V517" i="2"/>
  <c r="U146" i="2"/>
  <c r="V146" i="2"/>
  <c r="U302" i="2"/>
  <c r="V302" i="2"/>
  <c r="U54" i="2"/>
  <c r="V54" i="2"/>
  <c r="L114" i="2"/>
  <c r="M114" i="2"/>
  <c r="U378" i="2"/>
  <c r="V378" i="2"/>
  <c r="U498" i="2"/>
  <c r="V498" i="2"/>
  <c r="U43" i="2"/>
  <c r="V43" i="2"/>
  <c r="L283" i="2"/>
  <c r="M283" i="2"/>
  <c r="U343" i="2"/>
  <c r="V343" i="2"/>
  <c r="U35" i="2"/>
  <c r="V35" i="2"/>
  <c r="L83" i="2"/>
  <c r="M83" i="2"/>
  <c r="U119" i="2"/>
  <c r="V119" i="2"/>
  <c r="U131" i="2"/>
  <c r="V131" i="2"/>
  <c r="U155" i="2"/>
  <c r="V155" i="2"/>
  <c r="U167" i="2"/>
  <c r="V167" i="2"/>
  <c r="U191" i="2"/>
  <c r="V191" i="2"/>
  <c r="U215" i="2"/>
  <c r="V215" i="2"/>
  <c r="L227" i="2"/>
  <c r="M227" i="2"/>
  <c r="U251" i="2"/>
  <c r="V251" i="2"/>
  <c r="U275" i="2"/>
  <c r="V275" i="2"/>
  <c r="L335" i="2"/>
  <c r="M335" i="2"/>
  <c r="U395" i="2"/>
  <c r="V395" i="2"/>
  <c r="L407" i="2"/>
  <c r="M407" i="2"/>
  <c r="U419" i="2"/>
  <c r="V419" i="2"/>
  <c r="U431" i="2"/>
  <c r="V431" i="2"/>
  <c r="U455" i="2"/>
  <c r="V455" i="2"/>
  <c r="U467" i="2"/>
  <c r="V467" i="2"/>
  <c r="U503" i="2"/>
  <c r="V503" i="2"/>
  <c r="T22" i="2"/>
  <c r="K22" i="2"/>
  <c r="M22" i="2" s="1"/>
  <c r="T23" i="2"/>
  <c r="K23" i="2"/>
  <c r="T61" i="2"/>
  <c r="K419" i="2"/>
  <c r="W419" i="2" s="1"/>
  <c r="T412" i="2"/>
  <c r="T342" i="2"/>
  <c r="T104" i="2"/>
  <c r="K455" i="2"/>
  <c r="K467" i="2"/>
  <c r="T496" i="2"/>
  <c r="T368" i="2"/>
  <c r="T379" i="2"/>
  <c r="K363" i="2"/>
  <c r="K117" i="2"/>
  <c r="T74" i="2"/>
  <c r="K489" i="2"/>
  <c r="T33" i="2"/>
  <c r="K187" i="2"/>
  <c r="T55" i="2"/>
  <c r="K366" i="2"/>
  <c r="T471" i="2"/>
  <c r="T500" i="2"/>
  <c r="K447" i="2"/>
  <c r="T276" i="2"/>
  <c r="T364" i="2"/>
  <c r="T507" i="2"/>
  <c r="T151" i="2"/>
  <c r="K27" i="2"/>
  <c r="K225" i="2"/>
  <c r="T326" i="2"/>
  <c r="K442" i="2"/>
  <c r="K472" i="2"/>
  <c r="K492" i="2"/>
  <c r="K231" i="2"/>
  <c r="T135" i="2"/>
  <c r="K226" i="2"/>
  <c r="K84" i="2"/>
  <c r="T294" i="2"/>
  <c r="T504" i="2"/>
  <c r="T514" i="2"/>
  <c r="T39" i="2"/>
  <c r="T238" i="2"/>
  <c r="K474" i="2"/>
  <c r="X24" i="8"/>
  <c r="X26" i="8"/>
  <c r="X25" i="8"/>
  <c r="X23" i="8"/>
  <c r="X27" i="8"/>
  <c r="X28" i="8"/>
  <c r="X21" i="8"/>
  <c r="X22" i="8"/>
  <c r="T147" i="2"/>
  <c r="K400" i="2"/>
  <c r="K211" i="2"/>
  <c r="K410" i="2"/>
  <c r="T494" i="2"/>
  <c r="T469" i="2"/>
  <c r="T367" i="2"/>
  <c r="K387" i="2"/>
  <c r="T416" i="2"/>
  <c r="K423" i="2"/>
  <c r="T454" i="2"/>
  <c r="K519" i="2"/>
  <c r="T24" i="2"/>
  <c r="T99" i="2"/>
  <c r="T107" i="2"/>
  <c r="T114" i="2"/>
  <c r="K124" i="2"/>
  <c r="T132" i="2"/>
  <c r="K149" i="2"/>
  <c r="T203" i="2"/>
  <c r="T228" i="2"/>
  <c r="T315" i="2"/>
  <c r="T322" i="2"/>
  <c r="K330" i="2"/>
  <c r="K337" i="2"/>
  <c r="T345" i="2"/>
  <c r="K432" i="2"/>
  <c r="K470" i="2"/>
  <c r="T477" i="2"/>
  <c r="K503" i="2"/>
  <c r="K78" i="2"/>
  <c r="K175" i="2"/>
  <c r="T244" i="2"/>
  <c r="T394" i="2"/>
  <c r="K431" i="2"/>
  <c r="T485" i="2"/>
  <c r="T518" i="2"/>
  <c r="T272" i="2"/>
  <c r="K305" i="2"/>
  <c r="K321" i="2"/>
  <c r="T336" i="2"/>
  <c r="T41" i="2"/>
  <c r="T245" i="2"/>
  <c r="T298" i="2"/>
  <c r="K213" i="2"/>
  <c r="T92" i="2"/>
  <c r="T160" i="2"/>
  <c r="T239" i="2"/>
  <c r="T293" i="2"/>
  <c r="K301" i="2"/>
  <c r="K338" i="2"/>
  <c r="T347" i="2"/>
  <c r="K356" i="2"/>
  <c r="K397" i="2"/>
  <c r="T405" i="2"/>
  <c r="T434" i="2"/>
  <c r="T465" i="2"/>
  <c r="K191" i="2"/>
  <c r="K437" i="2"/>
  <c r="T264" i="2"/>
  <c r="T331" i="2"/>
  <c r="T126" i="2"/>
  <c r="T205" i="2"/>
  <c r="T254" i="2"/>
  <c r="K161" i="2"/>
  <c r="K181" i="2"/>
  <c r="K406" i="2"/>
  <c r="K435" i="2"/>
  <c r="T457" i="2"/>
  <c r="K491" i="2"/>
  <c r="K516" i="2"/>
  <c r="K270" i="2"/>
  <c r="K318" i="2"/>
  <c r="K349" i="2"/>
  <c r="T58" i="2"/>
  <c r="W58" i="2" s="1"/>
  <c r="K87" i="2"/>
  <c r="T201" i="2"/>
  <c r="T313" i="2"/>
  <c r="K329" i="2"/>
  <c r="T351" i="2"/>
  <c r="T460" i="2"/>
  <c r="K131" i="2"/>
  <c r="T138" i="2"/>
  <c r="K361" i="2"/>
  <c r="T185" i="2"/>
  <c r="K281" i="2"/>
  <c r="T108" i="2"/>
  <c r="K133" i="2"/>
  <c r="K186" i="2"/>
  <c r="T316" i="2"/>
  <c r="K111" i="2"/>
  <c r="T145" i="2"/>
  <c r="T48" i="2"/>
  <c r="T86" i="2"/>
  <c r="T278" i="2"/>
  <c r="T286" i="2"/>
  <c r="T303" i="2"/>
  <c r="T312" i="2"/>
  <c r="T335" i="2"/>
  <c r="T359" i="2"/>
  <c r="T399" i="2"/>
  <c r="T407" i="2"/>
  <c r="K421" i="2"/>
  <c r="T444" i="2"/>
  <c r="V444" i="2" s="1"/>
  <c r="T24" i="5"/>
  <c r="H20" i="1" s="1"/>
  <c r="U27" i="5"/>
  <c r="T31" i="5"/>
  <c r="T26" i="5"/>
  <c r="T30" i="5"/>
  <c r="O23" i="7"/>
  <c r="Q23" i="7" s="1"/>
  <c r="O25" i="7"/>
  <c r="Q25" i="7" s="1"/>
  <c r="O27" i="7"/>
  <c r="O29" i="7"/>
  <c r="N29" i="8"/>
  <c r="N28" i="8"/>
  <c r="N22" i="8"/>
  <c r="AB23" i="7"/>
  <c r="AB29" i="7"/>
  <c r="O24" i="7"/>
  <c r="O26" i="7"/>
  <c r="AB26" i="7"/>
  <c r="K513" i="2"/>
  <c r="T513" i="2"/>
  <c r="L99" i="2"/>
  <c r="K202" i="2"/>
  <c r="T202" i="2"/>
  <c r="T381" i="2"/>
  <c r="T73" i="2"/>
  <c r="K300" i="2"/>
  <c r="M300" i="2" s="1"/>
  <c r="K375" i="2"/>
  <c r="M375" i="2" s="1"/>
  <c r="T375" i="2"/>
  <c r="T452" i="2"/>
  <c r="K452" i="2"/>
  <c r="K64" i="2"/>
  <c r="T64" i="2"/>
  <c r="V64" i="2" s="1"/>
  <c r="K152" i="2"/>
  <c r="K376" i="2"/>
  <c r="T376" i="2"/>
  <c r="K453" i="2"/>
  <c r="T49" i="2"/>
  <c r="L179" i="2"/>
  <c r="T139" i="2"/>
  <c r="K139" i="2"/>
  <c r="M139" i="2" s="1"/>
  <c r="T148" i="2"/>
  <c r="K236" i="2"/>
  <c r="T236" i="2"/>
  <c r="T413" i="2"/>
  <c r="K413" i="2"/>
  <c r="T80" i="2"/>
  <c r="K207" i="2"/>
  <c r="K395" i="2"/>
  <c r="K422" i="2"/>
  <c r="T120" i="2"/>
  <c r="T267" i="2"/>
  <c r="K267" i="2"/>
  <c r="T306" i="2"/>
  <c r="K306" i="2"/>
  <c r="M306" i="2" s="1"/>
  <c r="T417" i="2"/>
  <c r="K417" i="2"/>
  <c r="L203" i="2"/>
  <c r="K391" i="2"/>
  <c r="T391" i="2"/>
  <c r="K242" i="2"/>
  <c r="K259" i="2"/>
  <c r="K323" i="2"/>
  <c r="M323" i="2" s="1"/>
  <c r="T323" i="2"/>
  <c r="K418" i="2"/>
  <c r="L108" i="2"/>
  <c r="K235" i="2"/>
  <c r="T51" i="2"/>
  <c r="K51" i="2"/>
  <c r="M51" i="2" s="1"/>
  <c r="L86" i="2"/>
  <c r="K95" i="2"/>
  <c r="M95" i="2" s="1"/>
  <c r="T95" i="2"/>
  <c r="K163" i="2"/>
  <c r="T287" i="2"/>
  <c r="K287" i="2"/>
  <c r="M287" i="2" s="1"/>
  <c r="K428" i="2"/>
  <c r="M428" i="2" s="1"/>
  <c r="T428" i="2"/>
  <c r="K501" i="2"/>
  <c r="T501" i="2"/>
  <c r="T110" i="2"/>
  <c r="K110" i="2"/>
  <c r="M110" i="2" s="1"/>
  <c r="T478" i="2"/>
  <c r="K478" i="2"/>
  <c r="K246" i="2"/>
  <c r="M246" i="2" s="1"/>
  <c r="K57" i="2"/>
  <c r="T79" i="2"/>
  <c r="K79" i="2"/>
  <c r="M79" i="2" s="1"/>
  <c r="T157" i="2"/>
  <c r="K182" i="2"/>
  <c r="T182" i="2"/>
  <c r="T289" i="2"/>
  <c r="V289" i="2" s="1"/>
  <c r="K289" i="2"/>
  <c r="L314" i="2"/>
  <c r="K382" i="2"/>
  <c r="T382" i="2"/>
  <c r="V382" i="2" s="1"/>
  <c r="K134" i="2"/>
  <c r="T134" i="2"/>
  <c r="T261" i="2"/>
  <c r="T314" i="2"/>
  <c r="K68" i="2"/>
  <c r="T68" i="2"/>
  <c r="K81" i="2"/>
  <c r="K96" i="2"/>
  <c r="M96" i="2" s="1"/>
  <c r="T96" i="2"/>
  <c r="K105" i="2"/>
  <c r="M105" i="2" s="1"/>
  <c r="T188" i="2"/>
  <c r="T248" i="2"/>
  <c r="T283" i="2"/>
  <c r="K502" i="2"/>
  <c r="K36" i="2"/>
  <c r="K101" i="2"/>
  <c r="T143" i="2"/>
  <c r="T154" i="2"/>
  <c r="K257" i="2"/>
  <c r="M257" i="2" s="1"/>
  <c r="T296" i="2"/>
  <c r="K296" i="2"/>
  <c r="M296" i="2" s="1"/>
  <c r="T307" i="2"/>
  <c r="T370" i="2"/>
  <c r="K75" i="2"/>
  <c r="T184" i="2"/>
  <c r="K210" i="2"/>
  <c r="M210" i="2" s="1"/>
  <c r="T210" i="2"/>
  <c r="K352" i="2"/>
  <c r="M352" i="2" s="1"/>
  <c r="K30" i="2"/>
  <c r="K70" i="2"/>
  <c r="T89" i="2"/>
  <c r="T136" i="2"/>
  <c r="K136" i="2"/>
  <c r="M136" i="2" s="1"/>
  <c r="K150" i="2"/>
  <c r="T166" i="2"/>
  <c r="T179" i="2"/>
  <c r="K232" i="2"/>
  <c r="K250" i="2"/>
  <c r="T291" i="2"/>
  <c r="T339" i="2"/>
  <c r="L385" i="2"/>
  <c r="L394" i="2"/>
  <c r="K398" i="2"/>
  <c r="K420" i="2"/>
  <c r="T425" i="2"/>
  <c r="K448" i="2"/>
  <c r="K517" i="2"/>
  <c r="K350" i="2"/>
  <c r="T350" i="2"/>
  <c r="K515" i="2"/>
  <c r="M515" i="2" s="1"/>
  <c r="T515" i="2"/>
  <c r="K158" i="2"/>
  <c r="K178" i="2"/>
  <c r="T295" i="2"/>
  <c r="K468" i="2"/>
  <c r="T468" i="2"/>
  <c r="T479" i="2"/>
  <c r="T495" i="2"/>
  <c r="K495" i="2"/>
  <c r="K129" i="2"/>
  <c r="K196" i="2"/>
  <c r="T208" i="2"/>
  <c r="K388" i="2"/>
  <c r="M388" i="2" s="1"/>
  <c r="U447" i="2"/>
  <c r="T123" i="2"/>
  <c r="V123" i="2" s="1"/>
  <c r="K171" i="2"/>
  <c r="M171" i="2" s="1"/>
  <c r="T171" i="2"/>
  <c r="T237" i="2"/>
  <c r="K237" i="2"/>
  <c r="K384" i="2"/>
  <c r="K404" i="2"/>
  <c r="K115" i="2"/>
  <c r="T204" i="2"/>
  <c r="T227" i="2"/>
  <c r="T334" i="2"/>
  <c r="K346" i="2"/>
  <c r="M346" i="2" s="1"/>
  <c r="T415" i="2"/>
  <c r="K415" i="2"/>
  <c r="M415" i="2" s="1"/>
  <c r="K490" i="2"/>
  <c r="M490" i="2" s="1"/>
  <c r="T490" i="2"/>
  <c r="K200" i="2"/>
  <c r="T200" i="2"/>
  <c r="T292" i="2"/>
  <c r="V292" i="2" s="1"/>
  <c r="K292" i="2"/>
  <c r="T385" i="2"/>
  <c r="K71" i="2"/>
  <c r="T71" i="2"/>
  <c r="K98" i="2"/>
  <c r="T98" i="2"/>
  <c r="K304" i="2"/>
  <c r="T304" i="2"/>
  <c r="K348" i="2"/>
  <c r="T348" i="2"/>
  <c r="V348" i="2" s="1"/>
  <c r="U156" i="2"/>
  <c r="K162" i="2"/>
  <c r="M162" i="2" s="1"/>
  <c r="T162" i="2"/>
  <c r="K167" i="2"/>
  <c r="M167" i="2" s="1"/>
  <c r="T206" i="2"/>
  <c r="K206" i="2"/>
  <c r="T253" i="2"/>
  <c r="K253" i="2"/>
  <c r="K317" i="2"/>
  <c r="T317" i="2"/>
  <c r="K354" i="2"/>
  <c r="M354" i="2" s="1"/>
  <c r="T354" i="2"/>
  <c r="K438" i="2"/>
  <c r="M438" i="2" s="1"/>
  <c r="T463" i="2"/>
  <c r="T510" i="2"/>
  <c r="K319" i="2"/>
  <c r="K341" i="2"/>
  <c r="K390" i="2"/>
  <c r="M390" i="2" s="1"/>
  <c r="K393" i="2"/>
  <c r="K441" i="2"/>
  <c r="K445" i="2"/>
  <c r="T450" i="2"/>
  <c r="K466" i="2"/>
  <c r="T476" i="2"/>
  <c r="T488" i="2"/>
  <c r="T493" i="2"/>
  <c r="K499" i="2"/>
  <c r="K32" i="2"/>
  <c r="T46" i="2"/>
  <c r="K52" i="2"/>
  <c r="T77" i="2"/>
  <c r="K102" i="2"/>
  <c r="M102" i="2" s="1"/>
  <c r="T125" i="2"/>
  <c r="K156" i="2"/>
  <c r="K165" i="2"/>
  <c r="L185" i="2"/>
  <c r="K229" i="2"/>
  <c r="M229" i="2" s="1"/>
  <c r="K233" i="2"/>
  <c r="K282" i="2"/>
  <c r="T21" i="2"/>
  <c r="K72" i="2"/>
  <c r="T83" i="2"/>
  <c r="V83" i="2" s="1"/>
  <c r="T169" i="2"/>
  <c r="T197" i="2"/>
  <c r="T258" i="2"/>
  <c r="K310" i="2"/>
  <c r="T320" i="2"/>
  <c r="V320" i="2" s="1"/>
  <c r="L351" i="2"/>
  <c r="K362" i="2"/>
  <c r="T373" i="2"/>
  <c r="T429" i="2"/>
  <c r="V429" i="2" s="1"/>
  <c r="T482" i="2"/>
  <c r="AB22" i="7"/>
  <c r="O21" i="7"/>
  <c r="AB25" i="7"/>
  <c r="AB28" i="7"/>
  <c r="AB21" i="7"/>
  <c r="AB24" i="7"/>
  <c r="AB27" i="7"/>
  <c r="U29" i="5"/>
  <c r="V27" i="5"/>
  <c r="L48" i="2"/>
  <c r="L66" i="2"/>
  <c r="U27" i="2"/>
  <c r="L42" i="2"/>
  <c r="U36" i="2"/>
  <c r="U70" i="2"/>
  <c r="L41" i="2"/>
  <c r="L82" i="2"/>
  <c r="U117" i="2"/>
  <c r="K60" i="2"/>
  <c r="M60" i="2" s="1"/>
  <c r="L73" i="2"/>
  <c r="K76" i="2"/>
  <c r="M76" i="2" s="1"/>
  <c r="K119" i="2"/>
  <c r="M119" i="2" s="1"/>
  <c r="T195" i="2"/>
  <c r="K195" i="2"/>
  <c r="M195" i="2" s="1"/>
  <c r="U233" i="2"/>
  <c r="L138" i="2"/>
  <c r="L169" i="2"/>
  <c r="L347" i="2"/>
  <c r="L120" i="2"/>
  <c r="T153" i="2"/>
  <c r="K153" i="2"/>
  <c r="M153" i="2" s="1"/>
  <c r="K180" i="2"/>
  <c r="M180" i="2" s="1"/>
  <c r="T180" i="2"/>
  <c r="T106" i="2"/>
  <c r="K106" i="2"/>
  <c r="M106" i="2" s="1"/>
  <c r="K85" i="2"/>
  <c r="M85" i="2" s="1"/>
  <c r="K94" i="2"/>
  <c r="M94" i="2" s="1"/>
  <c r="K116" i="2"/>
  <c r="M116" i="2" s="1"/>
  <c r="L125" i="2"/>
  <c r="U129" i="2"/>
  <c r="T37" i="2"/>
  <c r="K37" i="2"/>
  <c r="M37" i="2" s="1"/>
  <c r="T82" i="2"/>
  <c r="K88" i="2"/>
  <c r="M88" i="2" s="1"/>
  <c r="K91" i="2"/>
  <c r="M91" i="2" s="1"/>
  <c r="K113" i="2"/>
  <c r="M113" i="2" s="1"/>
  <c r="U235" i="2"/>
  <c r="T97" i="2"/>
  <c r="K97" i="2"/>
  <c r="M97" i="2" s="1"/>
  <c r="L518" i="2"/>
  <c r="K25" i="2"/>
  <c r="T44" i="2"/>
  <c r="K44" i="2"/>
  <c r="M44" i="2" s="1"/>
  <c r="K63" i="2"/>
  <c r="M63" i="2" s="1"/>
  <c r="T100" i="2"/>
  <c r="K100" i="2"/>
  <c r="M100" i="2" s="1"/>
  <c r="K28" i="2"/>
  <c r="M28" i="2" s="1"/>
  <c r="T28" i="2"/>
  <c r="T42" i="2"/>
  <c r="K26" i="2"/>
  <c r="M26" i="2" s="1"/>
  <c r="T69" i="2"/>
  <c r="K69" i="2"/>
  <c r="M69" i="2" s="1"/>
  <c r="L104" i="2"/>
  <c r="T31" i="2"/>
  <c r="K31" i="2"/>
  <c r="M31" i="2" s="1"/>
  <c r="K38" i="2"/>
  <c r="M38" i="2" s="1"/>
  <c r="T53" i="2"/>
  <c r="K53" i="2"/>
  <c r="M53" i="2" s="1"/>
  <c r="K35" i="2"/>
  <c r="M35" i="2" s="1"/>
  <c r="T109" i="2"/>
  <c r="K109" i="2"/>
  <c r="M109" i="2" s="1"/>
  <c r="K40" i="2"/>
  <c r="M40" i="2" s="1"/>
  <c r="T40" i="2"/>
  <c r="K45" i="2"/>
  <c r="M45" i="2" s="1"/>
  <c r="K50" i="2"/>
  <c r="M50" i="2" s="1"/>
  <c r="T50" i="2"/>
  <c r="T66" i="2"/>
  <c r="L107" i="2"/>
  <c r="T56" i="2"/>
  <c r="K56" i="2"/>
  <c r="M56" i="2" s="1"/>
  <c r="L67" i="2"/>
  <c r="L92" i="2"/>
  <c r="U163" i="2"/>
  <c r="T172" i="2"/>
  <c r="K172" i="2"/>
  <c r="M172" i="2" s="1"/>
  <c r="U178" i="2"/>
  <c r="T103" i="2"/>
  <c r="K103" i="2"/>
  <c r="M103" i="2" s="1"/>
  <c r="T47" i="2"/>
  <c r="K47" i="2"/>
  <c r="M47" i="2" s="1"/>
  <c r="L33" i="2"/>
  <c r="K29" i="2"/>
  <c r="M29" i="2" s="1"/>
  <c r="T59" i="2"/>
  <c r="K59" i="2"/>
  <c r="M59" i="2" s="1"/>
  <c r="T67" i="2"/>
  <c r="T122" i="2"/>
  <c r="K122" i="2"/>
  <c r="M122" i="2" s="1"/>
  <c r="L147" i="2"/>
  <c r="K34" i="2"/>
  <c r="M34" i="2" s="1"/>
  <c r="T34" i="2"/>
  <c r="K62" i="2"/>
  <c r="M62" i="2" s="1"/>
  <c r="T62" i="2"/>
  <c r="T174" i="2"/>
  <c r="K174" i="2"/>
  <c r="M174" i="2" s="1"/>
  <c r="K54" i="2"/>
  <c r="M54" i="2" s="1"/>
  <c r="T127" i="2"/>
  <c r="K127" i="2"/>
  <c r="M127" i="2" s="1"/>
  <c r="L188" i="2"/>
  <c r="U225" i="2"/>
  <c r="T223" i="2"/>
  <c r="K223" i="2"/>
  <c r="M223" i="2" s="1"/>
  <c r="T241" i="2"/>
  <c r="K241" i="2"/>
  <c r="M241" i="2" s="1"/>
  <c r="L258" i="2"/>
  <c r="K140" i="2"/>
  <c r="M140" i="2" s="1"/>
  <c r="T142" i="2"/>
  <c r="K142" i="2"/>
  <c r="M142" i="2" s="1"/>
  <c r="K144" i="2"/>
  <c r="M144" i="2" s="1"/>
  <c r="T198" i="2"/>
  <c r="K198" i="2"/>
  <c r="M198" i="2" s="1"/>
  <c r="K209" i="2"/>
  <c r="M209" i="2" s="1"/>
  <c r="K218" i="2"/>
  <c r="M218" i="2" s="1"/>
  <c r="T269" i="2"/>
  <c r="K269" i="2"/>
  <c r="M269" i="2" s="1"/>
  <c r="L313" i="2"/>
  <c r="K155" i="2"/>
  <c r="M155" i="2" s="1"/>
  <c r="K159" i="2"/>
  <c r="M159" i="2" s="1"/>
  <c r="K164" i="2"/>
  <c r="M164" i="2" s="1"/>
  <c r="L166" i="2"/>
  <c r="T170" i="2"/>
  <c r="K170" i="2"/>
  <c r="M170" i="2" s="1"/>
  <c r="K193" i="2"/>
  <c r="M193" i="2" s="1"/>
  <c r="T230" i="2"/>
  <c r="K230" i="2"/>
  <c r="M230" i="2" s="1"/>
  <c r="L248" i="2"/>
  <c r="K265" i="2"/>
  <c r="M265" i="2" s="1"/>
  <c r="L278" i="2"/>
  <c r="K112" i="2"/>
  <c r="M112" i="2" s="1"/>
  <c r="K146" i="2"/>
  <c r="M146" i="2" s="1"/>
  <c r="K168" i="2"/>
  <c r="M168" i="2" s="1"/>
  <c r="L216" i="2"/>
  <c r="K221" i="2"/>
  <c r="M221" i="2" s="1"/>
  <c r="T252" i="2"/>
  <c r="K252" i="2"/>
  <c r="M252" i="2" s="1"/>
  <c r="T274" i="2"/>
  <c r="K274" i="2"/>
  <c r="M274" i="2" s="1"/>
  <c r="U363" i="2"/>
  <c r="T216" i="2"/>
  <c r="K256" i="2"/>
  <c r="M256" i="2" s="1"/>
  <c r="L263" i="2"/>
  <c r="K128" i="2"/>
  <c r="M128" i="2" s="1"/>
  <c r="K137" i="2"/>
  <c r="M137" i="2" s="1"/>
  <c r="U207" i="2"/>
  <c r="L219" i="2"/>
  <c r="K224" i="2"/>
  <c r="M224" i="2" s="1"/>
  <c r="L239" i="2"/>
  <c r="T263" i="2"/>
  <c r="K90" i="2"/>
  <c r="M90" i="2" s="1"/>
  <c r="K43" i="2"/>
  <c r="M43" i="2" s="1"/>
  <c r="K65" i="2"/>
  <c r="M65" i="2" s="1"/>
  <c r="K93" i="2"/>
  <c r="M93" i="2" s="1"/>
  <c r="K121" i="2"/>
  <c r="M121" i="2" s="1"/>
  <c r="K141" i="2"/>
  <c r="M141" i="2" s="1"/>
  <c r="T173" i="2"/>
  <c r="K173" i="2"/>
  <c r="M173" i="2" s="1"/>
  <c r="T177" i="2"/>
  <c r="L183" i="2"/>
  <c r="K189" i="2"/>
  <c r="M189" i="2" s="1"/>
  <c r="L194" i="2"/>
  <c r="K199" i="2"/>
  <c r="M199" i="2" s="1"/>
  <c r="K214" i="2"/>
  <c r="M214" i="2" s="1"/>
  <c r="T219" i="2"/>
  <c r="U270" i="2"/>
  <c r="T280" i="2"/>
  <c r="K280" i="2"/>
  <c r="M280" i="2" s="1"/>
  <c r="K118" i="2"/>
  <c r="M118" i="2" s="1"/>
  <c r="T183" i="2"/>
  <c r="T194" i="2"/>
  <c r="K212" i="2"/>
  <c r="M212" i="2" s="1"/>
  <c r="L222" i="2"/>
  <c r="U226" i="2"/>
  <c r="K284" i="2"/>
  <c r="M284" i="2" s="1"/>
  <c r="K130" i="2"/>
  <c r="M130" i="2" s="1"/>
  <c r="L143" i="2"/>
  <c r="L197" i="2"/>
  <c r="T217" i="2"/>
  <c r="K217" i="2"/>
  <c r="M217" i="2" s="1"/>
  <c r="T222" i="2"/>
  <c r="T240" i="2"/>
  <c r="K240" i="2"/>
  <c r="M240" i="2" s="1"/>
  <c r="T260" i="2"/>
  <c r="K260" i="2"/>
  <c r="M260" i="2" s="1"/>
  <c r="L276" i="2"/>
  <c r="L315" i="2"/>
  <c r="T192" i="2"/>
  <c r="K192" i="2"/>
  <c r="M192" i="2" s="1"/>
  <c r="T371" i="2"/>
  <c r="K371" i="2"/>
  <c r="M371" i="2" s="1"/>
  <c r="T176" i="2"/>
  <c r="K176" i="2"/>
  <c r="M176" i="2" s="1"/>
  <c r="K190" i="2"/>
  <c r="M190" i="2" s="1"/>
  <c r="K215" i="2"/>
  <c r="M215" i="2" s="1"/>
  <c r="T220" i="2"/>
  <c r="K220" i="2"/>
  <c r="M220" i="2" s="1"/>
  <c r="L254" i="2"/>
  <c r="L272" i="2"/>
  <c r="U432" i="2"/>
  <c r="K288" i="2"/>
  <c r="M288" i="2" s="1"/>
  <c r="L294" i="2"/>
  <c r="T311" i="2"/>
  <c r="K311" i="2"/>
  <c r="M311" i="2" s="1"/>
  <c r="K273" i="2"/>
  <c r="M273" i="2" s="1"/>
  <c r="K279" i="2"/>
  <c r="M279" i="2" s="1"/>
  <c r="T358" i="2"/>
  <c r="K358" i="2"/>
  <c r="M358" i="2" s="1"/>
  <c r="U361" i="2"/>
  <c r="L373" i="2"/>
  <c r="K377" i="2"/>
  <c r="M377" i="2" s="1"/>
  <c r="K271" i="2"/>
  <c r="M271" i="2" s="1"/>
  <c r="K275" i="2"/>
  <c r="M275" i="2" s="1"/>
  <c r="T277" i="2"/>
  <c r="K277" i="2"/>
  <c r="M277" i="2" s="1"/>
  <c r="K290" i="2"/>
  <c r="M290" i="2" s="1"/>
  <c r="T299" i="2"/>
  <c r="K299" i="2"/>
  <c r="M299" i="2" s="1"/>
  <c r="K324" i="2"/>
  <c r="M324" i="2" s="1"/>
  <c r="U329" i="2"/>
  <c r="K332" i="2"/>
  <c r="M332" i="2" s="1"/>
  <c r="L345" i="2"/>
  <c r="L368" i="2"/>
  <c r="L339" i="2"/>
  <c r="L359" i="2"/>
  <c r="K243" i="2"/>
  <c r="M243" i="2" s="1"/>
  <c r="K247" i="2"/>
  <c r="M247" i="2" s="1"/>
  <c r="K262" i="2"/>
  <c r="M262" i="2" s="1"/>
  <c r="K285" i="2"/>
  <c r="M285" i="2" s="1"/>
  <c r="K297" i="2"/>
  <c r="M297" i="2" s="1"/>
  <c r="K234" i="2"/>
  <c r="M234" i="2" s="1"/>
  <c r="K251" i="2"/>
  <c r="M251" i="2" s="1"/>
  <c r="L264" i="2"/>
  <c r="K266" i="2"/>
  <c r="M266" i="2" s="1"/>
  <c r="K309" i="2"/>
  <c r="M309" i="2" s="1"/>
  <c r="L322" i="2"/>
  <c r="K328" i="2"/>
  <c r="M328" i="2" s="1"/>
  <c r="K369" i="2"/>
  <c r="M369" i="2" s="1"/>
  <c r="T249" i="2"/>
  <c r="K249" i="2"/>
  <c r="M249" i="2" s="1"/>
  <c r="T255" i="2"/>
  <c r="K255" i="2"/>
  <c r="M255" i="2" s="1"/>
  <c r="L295" i="2"/>
  <c r="L312" i="2"/>
  <c r="L336" i="2"/>
  <c r="K365" i="2"/>
  <c r="M365" i="2" s="1"/>
  <c r="T386" i="2"/>
  <c r="K386" i="2"/>
  <c r="M386" i="2" s="1"/>
  <c r="K268" i="2"/>
  <c r="M268" i="2" s="1"/>
  <c r="K302" i="2"/>
  <c r="M302" i="2" s="1"/>
  <c r="K325" i="2"/>
  <c r="M325" i="2" s="1"/>
  <c r="K343" i="2"/>
  <c r="M343" i="2" s="1"/>
  <c r="K360" i="2"/>
  <c r="M360" i="2" s="1"/>
  <c r="L293" i="2"/>
  <c r="L331" i="2"/>
  <c r="L463" i="2"/>
  <c r="U422" i="2"/>
  <c r="K430" i="2"/>
  <c r="M430" i="2" s="1"/>
  <c r="K440" i="2"/>
  <c r="M440" i="2" s="1"/>
  <c r="K378" i="2"/>
  <c r="M378" i="2" s="1"/>
  <c r="U410" i="2"/>
  <c r="L510" i="2"/>
  <c r="K353" i="2"/>
  <c r="M353" i="2" s="1"/>
  <c r="K372" i="2"/>
  <c r="M372" i="2" s="1"/>
  <c r="T380" i="2"/>
  <c r="K380" i="2"/>
  <c r="M380" i="2" s="1"/>
  <c r="U404" i="2"/>
  <c r="T308" i="2"/>
  <c r="K308" i="2"/>
  <c r="M308" i="2" s="1"/>
  <c r="K340" i="2"/>
  <c r="M340" i="2" s="1"/>
  <c r="K344" i="2"/>
  <c r="M344" i="2" s="1"/>
  <c r="K357" i="2"/>
  <c r="M357" i="2" s="1"/>
  <c r="K374" i="2"/>
  <c r="M374" i="2" s="1"/>
  <c r="L405" i="2"/>
  <c r="T408" i="2"/>
  <c r="K408" i="2"/>
  <c r="M408" i="2" s="1"/>
  <c r="U441" i="2"/>
  <c r="L479" i="2"/>
  <c r="K327" i="2"/>
  <c r="M327" i="2" s="1"/>
  <c r="K355" i="2"/>
  <c r="M355" i="2" s="1"/>
  <c r="K389" i="2"/>
  <c r="M389" i="2" s="1"/>
  <c r="L454" i="2"/>
  <c r="L471" i="2"/>
  <c r="T333" i="2"/>
  <c r="K333" i="2"/>
  <c r="M333" i="2" s="1"/>
  <c r="T383" i="2"/>
  <c r="K383" i="2"/>
  <c r="M383" i="2" s="1"/>
  <c r="T409" i="2"/>
  <c r="K409" i="2"/>
  <c r="M409" i="2" s="1"/>
  <c r="L381" i="2"/>
  <c r="K402" i="2"/>
  <c r="M402" i="2" s="1"/>
  <c r="T443" i="2"/>
  <c r="K443" i="2"/>
  <c r="M443" i="2" s="1"/>
  <c r="L485" i="2"/>
  <c r="L476" i="2"/>
  <c r="T458" i="2"/>
  <c r="K458" i="2"/>
  <c r="M458" i="2" s="1"/>
  <c r="T505" i="2"/>
  <c r="K505" i="2"/>
  <c r="M505" i="2" s="1"/>
  <c r="T511" i="2"/>
  <c r="K511" i="2"/>
  <c r="M511" i="2" s="1"/>
  <c r="T426" i="2"/>
  <c r="K426" i="2"/>
  <c r="M426" i="2" s="1"/>
  <c r="T464" i="2"/>
  <c r="K464" i="2"/>
  <c r="M464" i="2" s="1"/>
  <c r="U472" i="2"/>
  <c r="T480" i="2"/>
  <c r="K480" i="2"/>
  <c r="M480" i="2" s="1"/>
  <c r="T486" i="2"/>
  <c r="K486" i="2"/>
  <c r="M486" i="2" s="1"/>
  <c r="T506" i="2"/>
  <c r="K506" i="2"/>
  <c r="M506" i="2" s="1"/>
  <c r="T512" i="2"/>
  <c r="K512" i="2"/>
  <c r="M512" i="2" s="1"/>
  <c r="U519" i="2"/>
  <c r="K446" i="2"/>
  <c r="M446" i="2" s="1"/>
  <c r="K459" i="2"/>
  <c r="M459" i="2" s="1"/>
  <c r="T481" i="2"/>
  <c r="K481" i="2"/>
  <c r="M481" i="2" s="1"/>
  <c r="T487" i="2"/>
  <c r="K487" i="2"/>
  <c r="M487" i="2" s="1"/>
  <c r="T411" i="2"/>
  <c r="K411" i="2"/>
  <c r="M411" i="2" s="1"/>
  <c r="K424" i="2"/>
  <c r="M424" i="2" s="1"/>
  <c r="T433" i="2"/>
  <c r="K433" i="2"/>
  <c r="M433" i="2" s="1"/>
  <c r="T449" i="2"/>
  <c r="K449" i="2"/>
  <c r="M449" i="2" s="1"/>
  <c r="L465" i="2"/>
  <c r="L477" i="2"/>
  <c r="U491" i="2"/>
  <c r="L507" i="2"/>
  <c r="U516" i="2"/>
  <c r="K396" i="2"/>
  <c r="M396" i="2" s="1"/>
  <c r="L403" i="2"/>
  <c r="U435" i="2"/>
  <c r="L460" i="2"/>
  <c r="L482" i="2"/>
  <c r="L488" i="2"/>
  <c r="L500" i="2"/>
  <c r="T403" i="2"/>
  <c r="L496" i="2"/>
  <c r="K427" i="2"/>
  <c r="M427" i="2" s="1"/>
  <c r="T436" i="2"/>
  <c r="K436" i="2"/>
  <c r="M436" i="2" s="1"/>
  <c r="K456" i="2"/>
  <c r="M456" i="2" s="1"/>
  <c r="T508" i="2"/>
  <c r="K508" i="2"/>
  <c r="M508" i="2" s="1"/>
  <c r="T392" i="2"/>
  <c r="K392" i="2"/>
  <c r="M392" i="2" s="1"/>
  <c r="T401" i="2"/>
  <c r="K401" i="2"/>
  <c r="M401" i="2" s="1"/>
  <c r="T461" i="2"/>
  <c r="K461" i="2"/>
  <c r="M461" i="2" s="1"/>
  <c r="U466" i="2"/>
  <c r="T483" i="2"/>
  <c r="K483" i="2"/>
  <c r="M483" i="2" s="1"/>
  <c r="T509" i="2"/>
  <c r="K509" i="2"/>
  <c r="M509" i="2" s="1"/>
  <c r="T414" i="2"/>
  <c r="K414" i="2"/>
  <c r="M414" i="2" s="1"/>
  <c r="T439" i="2"/>
  <c r="K439" i="2"/>
  <c r="M439" i="2" s="1"/>
  <c r="L457" i="2"/>
  <c r="T462" i="2"/>
  <c r="K462" i="2"/>
  <c r="M462" i="2" s="1"/>
  <c r="T484" i="2"/>
  <c r="K484" i="2"/>
  <c r="M484" i="2" s="1"/>
  <c r="L493" i="2"/>
  <c r="T475" i="2"/>
  <c r="V475" i="2" s="1"/>
  <c r="T497" i="2"/>
  <c r="V497" i="2" s="1"/>
  <c r="K451" i="2"/>
  <c r="M451" i="2" s="1"/>
  <c r="K473" i="2"/>
  <c r="M473" i="2" s="1"/>
  <c r="K498" i="2"/>
  <c r="M498" i="2" s="1"/>
  <c r="L514" i="2"/>
  <c r="AZ22" i="5"/>
  <c r="T23" i="5"/>
  <c r="O8" i="4"/>
  <c r="N8" i="4"/>
  <c r="K11" i="1"/>
  <c r="G7" i="6"/>
  <c r="H7" i="6"/>
  <c r="F16" i="6"/>
  <c r="L16" i="6"/>
  <c r="F5" i="6"/>
  <c r="Q16" i="6"/>
  <c r="W16" i="6"/>
  <c r="AB51" i="8" l="1"/>
  <c r="AH29" i="5"/>
  <c r="AI29" i="5" s="1"/>
  <c r="S21" i="5"/>
  <c r="AD22" i="5"/>
  <c r="AH22" i="5" s="1"/>
  <c r="AK22" i="5" s="1"/>
  <c r="AA29" i="8"/>
  <c r="AF30" i="7"/>
  <c r="AF34" i="7"/>
  <c r="AI31" i="5"/>
  <c r="AJ31" i="5"/>
  <c r="AJ28" i="5"/>
  <c r="AI28" i="5"/>
  <c r="AI26" i="5"/>
  <c r="AJ26" i="5"/>
  <c r="AH27" i="5"/>
  <c r="AJ27" i="5" s="1"/>
  <c r="AM27" i="5" s="1"/>
  <c r="H21" i="1"/>
  <c r="H22" i="1"/>
  <c r="AQ61" i="17"/>
  <c r="AC49" i="7"/>
  <c r="AB20" i="7"/>
  <c r="AC20" i="7" s="1"/>
  <c r="AI29" i="4"/>
  <c r="AR40" i="17"/>
  <c r="AK29" i="4" s="1"/>
  <c r="AR62" i="17"/>
  <c r="AQ40" i="17"/>
  <c r="AQ63" i="17"/>
  <c r="AR52" i="17"/>
  <c r="AR71" i="17"/>
  <c r="AK37" i="4" s="1"/>
  <c r="AQ52" i="17"/>
  <c r="AQ73" i="17"/>
  <c r="BE66" i="17"/>
  <c r="BI66" i="17" s="1"/>
  <c r="BE43" i="17"/>
  <c r="BI43" i="17" s="1"/>
  <c r="AQ71" i="17"/>
  <c r="P7" i="4"/>
  <c r="AA32" i="6"/>
  <c r="AA27" i="6"/>
  <c r="AA22" i="6"/>
  <c r="AA31" i="6"/>
  <c r="AA21" i="6"/>
  <c r="U61" i="4"/>
  <c r="AJ63" i="4"/>
  <c r="AL46" i="5"/>
  <c r="AQ65" i="17"/>
  <c r="AA24" i="6"/>
  <c r="AA28" i="6"/>
  <c r="AL47" i="5"/>
  <c r="AJ61" i="4"/>
  <c r="AB34" i="8"/>
  <c r="AA34" i="6"/>
  <c r="X18" i="6"/>
  <c r="H6" i="6" s="1"/>
  <c r="AB32" i="8"/>
  <c r="AB39" i="8"/>
  <c r="AF35" i="7"/>
  <c r="AB30" i="8"/>
  <c r="AB36" i="8"/>
  <c r="AB37" i="8"/>
  <c r="AF51" i="7"/>
  <c r="AQ38" i="17"/>
  <c r="AJ27" i="4" s="1"/>
  <c r="X536" i="2"/>
  <c r="AQ42" i="17"/>
  <c r="U531" i="2"/>
  <c r="P49" i="7"/>
  <c r="AF50" i="7"/>
  <c r="X535" i="2"/>
  <c r="AA26" i="6"/>
  <c r="AI45" i="5"/>
  <c r="AA30" i="6"/>
  <c r="X20" i="2"/>
  <c r="AF33" i="7"/>
  <c r="AF37" i="7"/>
  <c r="AF39" i="7"/>
  <c r="X534" i="2"/>
  <c r="AF31" i="7"/>
  <c r="AB38" i="8"/>
  <c r="AB33" i="8"/>
  <c r="AL48" i="5"/>
  <c r="L531" i="2"/>
  <c r="X532" i="2"/>
  <c r="AF52" i="7"/>
  <c r="AF36" i="7"/>
  <c r="AB35" i="8"/>
  <c r="AF38" i="7"/>
  <c r="N49" i="8"/>
  <c r="AB50" i="8"/>
  <c r="AB49" i="8" s="1"/>
  <c r="X533" i="2"/>
  <c r="Y49" i="8"/>
  <c r="AF32" i="7"/>
  <c r="AR38" i="17"/>
  <c r="AQ48" i="17"/>
  <c r="AH37" i="4"/>
  <c r="AR42" i="17"/>
  <c r="AH31" i="4"/>
  <c r="AR73" i="17"/>
  <c r="AQ75" i="17"/>
  <c r="AR75" i="17"/>
  <c r="BI47" i="17"/>
  <c r="AR47" i="17" s="1"/>
  <c r="AI27" i="4"/>
  <c r="AQ50" i="17"/>
  <c r="AR61" i="17"/>
  <c r="AR50" i="17"/>
  <c r="BI72" i="17"/>
  <c r="AQ72" i="17" s="1"/>
  <c r="N26" i="8"/>
  <c r="AA26" i="8"/>
  <c r="O27" i="8"/>
  <c r="BI45" i="17"/>
  <c r="AH34" i="4" s="1"/>
  <c r="AI31" i="4"/>
  <c r="BI68" i="17"/>
  <c r="AQ68" i="17" s="1"/>
  <c r="BI49" i="17"/>
  <c r="AR49" i="17" s="1"/>
  <c r="AQ39" i="17"/>
  <c r="AJ28" i="4" s="1"/>
  <c r="AR65" i="17"/>
  <c r="AR39" i="17"/>
  <c r="AI35" i="4"/>
  <c r="AQ69" i="17"/>
  <c r="AR69" i="17"/>
  <c r="AQ74" i="17"/>
  <c r="AR74" i="17"/>
  <c r="AH30" i="4"/>
  <c r="AR41" i="17"/>
  <c r="AQ41" i="17"/>
  <c r="AQ44" i="17"/>
  <c r="AR44" i="17"/>
  <c r="AH33" i="4"/>
  <c r="AI30" i="4"/>
  <c r="AQ64" i="17"/>
  <c r="AR64" i="17"/>
  <c r="AH40" i="4"/>
  <c r="AQ51" i="17"/>
  <c r="AR51" i="17"/>
  <c r="AQ46" i="17"/>
  <c r="AR46" i="17"/>
  <c r="AH35" i="4"/>
  <c r="BI70" i="17"/>
  <c r="AI33" i="4"/>
  <c r="AR67" i="17"/>
  <c r="AQ67" i="17"/>
  <c r="L3" i="4"/>
  <c r="Q20" i="7"/>
  <c r="O19" i="7"/>
  <c r="E5" i="7" s="1"/>
  <c r="O21" i="8"/>
  <c r="X19" i="8"/>
  <c r="F5" i="8" s="1"/>
  <c r="N24" i="8"/>
  <c r="O23" i="8"/>
  <c r="M19" i="8"/>
  <c r="E5" i="8" s="1"/>
  <c r="AC20" i="8"/>
  <c r="P22" i="7"/>
  <c r="P23" i="7"/>
  <c r="Y378" i="2"/>
  <c r="Y130" i="2"/>
  <c r="Y324" i="2"/>
  <c r="Y309" i="2"/>
  <c r="Y199" i="2"/>
  <c r="Y275" i="2"/>
  <c r="Y43" i="2"/>
  <c r="Y105" i="2"/>
  <c r="Y344" i="2"/>
  <c r="Y218" i="2"/>
  <c r="Y271" i="2"/>
  <c r="Y440" i="2"/>
  <c r="Y284" i="2"/>
  <c r="Y90" i="2"/>
  <c r="Y427" i="2"/>
  <c r="T19" i="2"/>
  <c r="Y389" i="2"/>
  <c r="Y102" i="2"/>
  <c r="K19" i="2"/>
  <c r="Y22" i="8"/>
  <c r="AB22" i="8" s="1"/>
  <c r="Z22" i="8"/>
  <c r="AC22" i="8" s="1"/>
  <c r="Y21" i="8"/>
  <c r="AB21" i="8" s="1"/>
  <c r="Z21" i="8"/>
  <c r="Y28" i="8"/>
  <c r="AB28" i="8" s="1"/>
  <c r="Z28" i="8"/>
  <c r="AC28" i="8" s="1"/>
  <c r="Y29" i="8"/>
  <c r="AB29" i="8" s="1"/>
  <c r="Z29" i="8"/>
  <c r="AC29" i="8" s="1"/>
  <c r="Y27" i="8"/>
  <c r="Z27" i="8"/>
  <c r="Y23" i="8"/>
  <c r="AB23" i="8" s="1"/>
  <c r="Z23" i="8"/>
  <c r="Y24" i="8"/>
  <c r="Z24" i="8"/>
  <c r="AC24" i="8" s="1"/>
  <c r="Y25" i="8"/>
  <c r="AB25" i="8" s="1"/>
  <c r="Z25" i="8"/>
  <c r="AC25" i="8" s="1"/>
  <c r="Y26" i="8"/>
  <c r="Z26" i="8"/>
  <c r="AC26" i="8" s="1"/>
  <c r="AC25" i="7"/>
  <c r="AD25" i="7"/>
  <c r="AG25" i="7" s="1"/>
  <c r="AC27" i="7"/>
  <c r="AD27" i="7"/>
  <c r="P29" i="7"/>
  <c r="Q29" i="7"/>
  <c r="AC24" i="7"/>
  <c r="AD24" i="7"/>
  <c r="AC21" i="7"/>
  <c r="AD21" i="7"/>
  <c r="P26" i="7"/>
  <c r="Q26" i="7"/>
  <c r="AC22" i="7"/>
  <c r="AD22" i="7"/>
  <c r="AG22" i="7" s="1"/>
  <c r="P24" i="7"/>
  <c r="Q24" i="7"/>
  <c r="AC29" i="7"/>
  <c r="AD29" i="7"/>
  <c r="AC23" i="7"/>
  <c r="AD23" i="7"/>
  <c r="AG23" i="7" s="1"/>
  <c r="P28" i="7"/>
  <c r="Q28" i="7"/>
  <c r="P27" i="7"/>
  <c r="Q27" i="7"/>
  <c r="AC28" i="7"/>
  <c r="AD28" i="7"/>
  <c r="AC26" i="7"/>
  <c r="AD26" i="7"/>
  <c r="P21" i="7"/>
  <c r="Q21" i="7"/>
  <c r="P25" i="7"/>
  <c r="Y26" i="2"/>
  <c r="Y35" i="2"/>
  <c r="Y285" i="2"/>
  <c r="Y88" i="2"/>
  <c r="Y121" i="2"/>
  <c r="Y167" i="2"/>
  <c r="Y215" i="2"/>
  <c r="Y497" i="2"/>
  <c r="Y266" i="2"/>
  <c r="Y332" i="2"/>
  <c r="Y234" i="2"/>
  <c r="Y144" i="2"/>
  <c r="Y297" i="2"/>
  <c r="Y279" i="2"/>
  <c r="Y118" i="2"/>
  <c r="Y346" i="2"/>
  <c r="Y369" i="2"/>
  <c r="Y243" i="2"/>
  <c r="Y268" i="2"/>
  <c r="Y328" i="2"/>
  <c r="Y288" i="2"/>
  <c r="Y65" i="2"/>
  <c r="Y265" i="2"/>
  <c r="M18" i="6"/>
  <c r="G6" i="6" s="1"/>
  <c r="V26" i="5"/>
  <c r="AK26" i="5"/>
  <c r="U23" i="5"/>
  <c r="AK23" i="5"/>
  <c r="V31" i="5"/>
  <c r="AK31" i="5"/>
  <c r="V24" i="5"/>
  <c r="AM24" i="5" s="1"/>
  <c r="AK24" i="5"/>
  <c r="V22" i="5"/>
  <c r="AK25" i="5"/>
  <c r="V25" i="5"/>
  <c r="V30" i="5"/>
  <c r="AM30" i="5" s="1"/>
  <c r="AK30" i="5"/>
  <c r="V28" i="5"/>
  <c r="AK28" i="5"/>
  <c r="Y85" i="2"/>
  <c r="Y355" i="2"/>
  <c r="Y459" i="2"/>
  <c r="Y365" i="2"/>
  <c r="Y214" i="2"/>
  <c r="Y446" i="2"/>
  <c r="Y189" i="2"/>
  <c r="Y140" i="2"/>
  <c r="Y112" i="2"/>
  <c r="Y377" i="2"/>
  <c r="Y257" i="2"/>
  <c r="Y430" i="2"/>
  <c r="Y193" i="2"/>
  <c r="Y251" i="2"/>
  <c r="Y212" i="2"/>
  <c r="Y221" i="2"/>
  <c r="Y119" i="2"/>
  <c r="Y352" i="2"/>
  <c r="Y300" i="2"/>
  <c r="Y475" i="2"/>
  <c r="Y473" i="2"/>
  <c r="Y190" i="2"/>
  <c r="Y91" i="2"/>
  <c r="Y83" i="2"/>
  <c r="Y320" i="2"/>
  <c r="Y353" i="2"/>
  <c r="Y262" i="2"/>
  <c r="Y146" i="2"/>
  <c r="Y159" i="2"/>
  <c r="Y60" i="2"/>
  <c r="Y246" i="2"/>
  <c r="Y424" i="2"/>
  <c r="Y372" i="2"/>
  <c r="Y360" i="2"/>
  <c r="Y137" i="2"/>
  <c r="Y29" i="2"/>
  <c r="Y247" i="2"/>
  <c r="Y38" i="2"/>
  <c r="Y374" i="2"/>
  <c r="Y302" i="2"/>
  <c r="Y256" i="2"/>
  <c r="Y229" i="2"/>
  <c r="Y438" i="2"/>
  <c r="AA24" i="8"/>
  <c r="AA25" i="8"/>
  <c r="AA22" i="8"/>
  <c r="U26" i="5"/>
  <c r="AL29" i="5"/>
  <c r="U28" i="5"/>
  <c r="U30" i="5"/>
  <c r="U31" i="5"/>
  <c r="AL25" i="5"/>
  <c r="U24" i="5"/>
  <c r="U493" i="2"/>
  <c r="X493" i="2" s="1"/>
  <c r="V493" i="2"/>
  <c r="Y493" i="2" s="1"/>
  <c r="U481" i="2"/>
  <c r="V481" i="2"/>
  <c r="Y481" i="2" s="1"/>
  <c r="Y340" i="2"/>
  <c r="U386" i="2"/>
  <c r="V386" i="2"/>
  <c r="Y386" i="2" s="1"/>
  <c r="U223" i="2"/>
  <c r="V223" i="2"/>
  <c r="Y223" i="2" s="1"/>
  <c r="U192" i="2"/>
  <c r="V192" i="2"/>
  <c r="Y192" i="2" s="1"/>
  <c r="U462" i="2"/>
  <c r="V462" i="2"/>
  <c r="Y462" i="2" s="1"/>
  <c r="U461" i="2"/>
  <c r="V461" i="2"/>
  <c r="Y461" i="2" s="1"/>
  <c r="U463" i="2"/>
  <c r="X463" i="2" s="1"/>
  <c r="V463" i="2"/>
  <c r="Y463" i="2" s="1"/>
  <c r="U269" i="2"/>
  <c r="V269" i="2"/>
  <c r="Y269" i="2" s="1"/>
  <c r="U403" i="2"/>
  <c r="X403" i="2" s="1"/>
  <c r="V403" i="2"/>
  <c r="Y403" i="2" s="1"/>
  <c r="U241" i="2"/>
  <c r="V241" i="2"/>
  <c r="Y241" i="2" s="1"/>
  <c r="U31" i="2"/>
  <c r="V31" i="2"/>
  <c r="Y31" i="2" s="1"/>
  <c r="W115" i="2"/>
  <c r="M115" i="2"/>
  <c r="Y115" i="2" s="1"/>
  <c r="L350" i="2"/>
  <c r="M350" i="2"/>
  <c r="L75" i="2"/>
  <c r="X75" i="2" s="1"/>
  <c r="M75" i="2"/>
  <c r="Y75" i="2" s="1"/>
  <c r="U22" i="2"/>
  <c r="V22" i="2"/>
  <c r="Y22" i="2" s="1"/>
  <c r="U480" i="2"/>
  <c r="V480" i="2"/>
  <c r="Y480" i="2" s="1"/>
  <c r="U103" i="2"/>
  <c r="V103" i="2"/>
  <c r="Y103" i="2" s="1"/>
  <c r="L25" i="2"/>
  <c r="X25" i="2" s="1"/>
  <c r="M25" i="2"/>
  <c r="Y25" i="2" s="1"/>
  <c r="U392" i="2"/>
  <c r="V392" i="2"/>
  <c r="Y392" i="2" s="1"/>
  <c r="U61" i="2"/>
  <c r="X61" i="2" s="1"/>
  <c r="V61" i="2"/>
  <c r="Y61" i="2" s="1"/>
  <c r="W259" i="2"/>
  <c r="M259" i="2"/>
  <c r="Y259" i="2" s="1"/>
  <c r="L422" i="2"/>
  <c r="X422" i="2" s="1"/>
  <c r="M422" i="2"/>
  <c r="Y422" i="2" s="1"/>
  <c r="U49" i="2"/>
  <c r="X49" i="2" s="1"/>
  <c r="V49" i="2"/>
  <c r="Y49" i="2" s="1"/>
  <c r="U73" i="2"/>
  <c r="X73" i="2" s="1"/>
  <c r="V73" i="2"/>
  <c r="Y73" i="2" s="1"/>
  <c r="U48" i="2"/>
  <c r="X48" i="2" s="1"/>
  <c r="V48" i="2"/>
  <c r="Y48" i="2" s="1"/>
  <c r="U460" i="2"/>
  <c r="X460" i="2" s="1"/>
  <c r="V460" i="2"/>
  <c r="Y460" i="2" s="1"/>
  <c r="U457" i="2"/>
  <c r="X457" i="2" s="1"/>
  <c r="V457" i="2"/>
  <c r="Y457" i="2" s="1"/>
  <c r="U465" i="2"/>
  <c r="X465" i="2" s="1"/>
  <c r="V465" i="2"/>
  <c r="Y465" i="2" s="1"/>
  <c r="L213" i="2"/>
  <c r="X213" i="2" s="1"/>
  <c r="M213" i="2"/>
  <c r="Y213" i="2" s="1"/>
  <c r="U244" i="2"/>
  <c r="X244" i="2" s="1"/>
  <c r="V244" i="2"/>
  <c r="Y244" i="2" s="1"/>
  <c r="U228" i="2"/>
  <c r="X228" i="2" s="1"/>
  <c r="V228" i="2"/>
  <c r="Y228" i="2" s="1"/>
  <c r="W416" i="2"/>
  <c r="V416" i="2"/>
  <c r="Y416" i="2" s="1"/>
  <c r="U294" i="2"/>
  <c r="X294" i="2" s="1"/>
  <c r="V294" i="2"/>
  <c r="Y294" i="2" s="1"/>
  <c r="U507" i="2"/>
  <c r="X507" i="2" s="1"/>
  <c r="V507" i="2"/>
  <c r="Y507" i="2" s="1"/>
  <c r="L117" i="2"/>
  <c r="X117" i="2" s="1"/>
  <c r="M117" i="2"/>
  <c r="Y117" i="2" s="1"/>
  <c r="L23" i="2"/>
  <c r="M23" i="2"/>
  <c r="U373" i="2"/>
  <c r="X373" i="2" s="1"/>
  <c r="V373" i="2"/>
  <c r="Y373" i="2" s="1"/>
  <c r="U227" i="2"/>
  <c r="X227" i="2" s="1"/>
  <c r="V227" i="2"/>
  <c r="Y227" i="2" s="1"/>
  <c r="U208" i="2"/>
  <c r="X208" i="2" s="1"/>
  <c r="V208" i="2"/>
  <c r="Y208" i="2" s="1"/>
  <c r="W250" i="2"/>
  <c r="M250" i="2"/>
  <c r="Y250" i="2" s="1"/>
  <c r="W502" i="2"/>
  <c r="M502" i="2"/>
  <c r="Y502" i="2" s="1"/>
  <c r="U134" i="2"/>
  <c r="V134" i="2"/>
  <c r="W57" i="2"/>
  <c r="M57" i="2"/>
  <c r="Y57" i="2" s="1"/>
  <c r="L163" i="2"/>
  <c r="X163" i="2" s="1"/>
  <c r="M163" i="2"/>
  <c r="Y163" i="2" s="1"/>
  <c r="L242" i="2"/>
  <c r="X242" i="2" s="1"/>
  <c r="M242" i="2"/>
  <c r="Y242" i="2" s="1"/>
  <c r="L395" i="2"/>
  <c r="X395" i="2" s="1"/>
  <c r="M395" i="2"/>
  <c r="Y395" i="2" s="1"/>
  <c r="W395" i="2"/>
  <c r="L453" i="2"/>
  <c r="X453" i="2" s="1"/>
  <c r="M453" i="2"/>
  <c r="Y453" i="2" s="1"/>
  <c r="U381" i="2"/>
  <c r="X381" i="2" s="1"/>
  <c r="V381" i="2"/>
  <c r="Y381" i="2" s="1"/>
  <c r="W145" i="2"/>
  <c r="V145" i="2"/>
  <c r="Y145" i="2" s="1"/>
  <c r="U351" i="2"/>
  <c r="X351" i="2" s="1"/>
  <c r="V351" i="2"/>
  <c r="Y351" i="2" s="1"/>
  <c r="L435" i="2"/>
  <c r="X435" i="2" s="1"/>
  <c r="M435" i="2"/>
  <c r="Y435" i="2" s="1"/>
  <c r="U434" i="2"/>
  <c r="X434" i="2" s="1"/>
  <c r="V434" i="2"/>
  <c r="Y434" i="2" s="1"/>
  <c r="W298" i="2"/>
  <c r="V298" i="2"/>
  <c r="Y298" i="2" s="1"/>
  <c r="L175" i="2"/>
  <c r="X175" i="2" s="1"/>
  <c r="M175" i="2"/>
  <c r="Y175" i="2" s="1"/>
  <c r="U203" i="2"/>
  <c r="X203" i="2" s="1"/>
  <c r="V203" i="2"/>
  <c r="Y203" i="2" s="1"/>
  <c r="W387" i="2"/>
  <c r="M387" i="2"/>
  <c r="Y387" i="2" s="1"/>
  <c r="L84" i="2"/>
  <c r="X84" i="2" s="1"/>
  <c r="M84" i="2"/>
  <c r="Y84" i="2" s="1"/>
  <c r="U364" i="2"/>
  <c r="X364" i="2" s="1"/>
  <c r="V364" i="2"/>
  <c r="Y364" i="2" s="1"/>
  <c r="L363" i="2"/>
  <c r="X363" i="2" s="1"/>
  <c r="M363" i="2"/>
  <c r="Y363" i="2" s="1"/>
  <c r="U219" i="2"/>
  <c r="X219" i="2" s="1"/>
  <c r="V219" i="2"/>
  <c r="Y219" i="2" s="1"/>
  <c r="U216" i="2"/>
  <c r="X216" i="2" s="1"/>
  <c r="V216" i="2"/>
  <c r="Y216" i="2" s="1"/>
  <c r="U34" i="2"/>
  <c r="V34" i="2"/>
  <c r="Y34" i="2" s="1"/>
  <c r="U50" i="2"/>
  <c r="V50" i="2"/>
  <c r="Y50" i="2" s="1"/>
  <c r="U44" i="2"/>
  <c r="V44" i="2"/>
  <c r="Y44" i="2" s="1"/>
  <c r="L233" i="2"/>
  <c r="X233" i="2" s="1"/>
  <c r="M233" i="2"/>
  <c r="Y233" i="2" s="1"/>
  <c r="L292" i="2"/>
  <c r="M292" i="2"/>
  <c r="Y292" i="2" s="1"/>
  <c r="L129" i="2"/>
  <c r="X129" i="2" s="1"/>
  <c r="M129" i="2"/>
  <c r="Y129" i="2" s="1"/>
  <c r="U179" i="2"/>
  <c r="X179" i="2" s="1"/>
  <c r="V179" i="2"/>
  <c r="Y179" i="2" s="1"/>
  <c r="U248" i="2"/>
  <c r="X248" i="2" s="1"/>
  <c r="V248" i="2"/>
  <c r="Y248" i="2" s="1"/>
  <c r="L478" i="2"/>
  <c r="M478" i="2"/>
  <c r="U484" i="2"/>
  <c r="V484" i="2"/>
  <c r="Y484" i="2" s="1"/>
  <c r="U153" i="2"/>
  <c r="V153" i="2"/>
  <c r="Y153" i="2" s="1"/>
  <c r="U482" i="2"/>
  <c r="X482" i="2" s="1"/>
  <c r="V482" i="2"/>
  <c r="Y482" i="2" s="1"/>
  <c r="U21" i="2"/>
  <c r="X21" i="2" s="1"/>
  <c r="V21" i="2"/>
  <c r="Y21" i="2" s="1"/>
  <c r="W32" i="2"/>
  <c r="M32" i="2"/>
  <c r="Y32" i="2" s="1"/>
  <c r="W319" i="2"/>
  <c r="M319" i="2"/>
  <c r="Y319" i="2" s="1"/>
  <c r="U66" i="2"/>
  <c r="X66" i="2" s="1"/>
  <c r="V66" i="2"/>
  <c r="Y66" i="2" s="1"/>
  <c r="U37" i="2"/>
  <c r="V37" i="2"/>
  <c r="Y37" i="2" s="1"/>
  <c r="L282" i="2"/>
  <c r="X282" i="2" s="1"/>
  <c r="M282" i="2"/>
  <c r="Y282" i="2" s="1"/>
  <c r="L499" i="2"/>
  <c r="X499" i="2" s="1"/>
  <c r="M499" i="2"/>
  <c r="Y499" i="2" s="1"/>
  <c r="U510" i="2"/>
  <c r="X510" i="2" s="1"/>
  <c r="V510" i="2"/>
  <c r="Y510" i="2" s="1"/>
  <c r="U162" i="2"/>
  <c r="V162" i="2"/>
  <c r="Y162" i="2" s="1"/>
  <c r="U385" i="2"/>
  <c r="X385" i="2" s="1"/>
  <c r="V385" i="2"/>
  <c r="Y385" i="2" s="1"/>
  <c r="W204" i="2"/>
  <c r="V204" i="2"/>
  <c r="Y204" i="2" s="1"/>
  <c r="W196" i="2"/>
  <c r="M196" i="2"/>
  <c r="Y196" i="2" s="1"/>
  <c r="U350" i="2"/>
  <c r="V350" i="2"/>
  <c r="W232" i="2"/>
  <c r="M232" i="2"/>
  <c r="Y232" i="2" s="1"/>
  <c r="U184" i="2"/>
  <c r="X184" i="2" s="1"/>
  <c r="V184" i="2"/>
  <c r="Y184" i="2" s="1"/>
  <c r="U283" i="2"/>
  <c r="X283" i="2" s="1"/>
  <c r="V283" i="2"/>
  <c r="Y283" i="2" s="1"/>
  <c r="L134" i="2"/>
  <c r="M134" i="2"/>
  <c r="U95" i="2"/>
  <c r="V95" i="2"/>
  <c r="Y95" i="2" s="1"/>
  <c r="U391" i="2"/>
  <c r="V391" i="2"/>
  <c r="L207" i="2"/>
  <c r="X207" i="2" s="1"/>
  <c r="M207" i="2"/>
  <c r="Y207" i="2" s="1"/>
  <c r="U376" i="2"/>
  <c r="V376" i="2"/>
  <c r="U202" i="2"/>
  <c r="V202" i="2"/>
  <c r="L421" i="2"/>
  <c r="X421" i="2" s="1"/>
  <c r="M421" i="2"/>
  <c r="Y421" i="2" s="1"/>
  <c r="L111" i="2"/>
  <c r="X111" i="2" s="1"/>
  <c r="M111" i="2"/>
  <c r="Y111" i="2" s="1"/>
  <c r="W406" i="2"/>
  <c r="M406" i="2"/>
  <c r="Y406" i="2" s="1"/>
  <c r="U245" i="2"/>
  <c r="X245" i="2" s="1"/>
  <c r="V245" i="2"/>
  <c r="Y245" i="2" s="1"/>
  <c r="W367" i="2"/>
  <c r="V367" i="2"/>
  <c r="Y367" i="2" s="1"/>
  <c r="L226" i="2"/>
  <c r="X226" i="2" s="1"/>
  <c r="M226" i="2"/>
  <c r="Y226" i="2" s="1"/>
  <c r="U379" i="2"/>
  <c r="X379" i="2" s="1"/>
  <c r="V379" i="2"/>
  <c r="Y379" i="2" s="1"/>
  <c r="U443" i="2"/>
  <c r="V443" i="2"/>
  <c r="Y443" i="2" s="1"/>
  <c r="U308" i="2"/>
  <c r="V308" i="2"/>
  <c r="Y308" i="2" s="1"/>
  <c r="U263" i="2"/>
  <c r="X263" i="2" s="1"/>
  <c r="V263" i="2"/>
  <c r="Y263" i="2" s="1"/>
  <c r="U230" i="2"/>
  <c r="V230" i="2"/>
  <c r="Y230" i="2" s="1"/>
  <c r="Y45" i="2"/>
  <c r="L362" i="2"/>
  <c r="X362" i="2" s="1"/>
  <c r="M362" i="2"/>
  <c r="Y362" i="2" s="1"/>
  <c r="U488" i="2"/>
  <c r="X488" i="2" s="1"/>
  <c r="V488" i="2"/>
  <c r="Y488" i="2" s="1"/>
  <c r="L404" i="2"/>
  <c r="X404" i="2" s="1"/>
  <c r="M404" i="2"/>
  <c r="Y404" i="2" s="1"/>
  <c r="L495" i="2"/>
  <c r="M495" i="2"/>
  <c r="L517" i="2"/>
  <c r="X517" i="2" s="1"/>
  <c r="M517" i="2"/>
  <c r="Y517" i="2" s="1"/>
  <c r="U166" i="2"/>
  <c r="X166" i="2" s="1"/>
  <c r="V166" i="2"/>
  <c r="Y166" i="2" s="1"/>
  <c r="W370" i="2"/>
  <c r="V370" i="2"/>
  <c r="Y370" i="2" s="1"/>
  <c r="L382" i="2"/>
  <c r="M382" i="2"/>
  <c r="Y382" i="2" s="1"/>
  <c r="U478" i="2"/>
  <c r="V478" i="2"/>
  <c r="L391" i="2"/>
  <c r="M391" i="2"/>
  <c r="U80" i="2"/>
  <c r="X80" i="2" s="1"/>
  <c r="V80" i="2"/>
  <c r="Y80" i="2" s="1"/>
  <c r="L376" i="2"/>
  <c r="M376" i="2"/>
  <c r="L202" i="2"/>
  <c r="M202" i="2"/>
  <c r="U407" i="2"/>
  <c r="X407" i="2" s="1"/>
  <c r="V407" i="2"/>
  <c r="Y407" i="2" s="1"/>
  <c r="U316" i="2"/>
  <c r="X316" i="2" s="1"/>
  <c r="V316" i="2"/>
  <c r="Y316" i="2" s="1"/>
  <c r="U313" i="2"/>
  <c r="X313" i="2" s="1"/>
  <c r="V313" i="2"/>
  <c r="Y313" i="2" s="1"/>
  <c r="L181" i="2"/>
  <c r="X181" i="2" s="1"/>
  <c r="M181" i="2"/>
  <c r="Y181" i="2" s="1"/>
  <c r="L397" i="2"/>
  <c r="X397" i="2" s="1"/>
  <c r="M397" i="2"/>
  <c r="Y397" i="2" s="1"/>
  <c r="U41" i="2"/>
  <c r="X41" i="2" s="1"/>
  <c r="V41" i="2"/>
  <c r="Y41" i="2" s="1"/>
  <c r="W503" i="2"/>
  <c r="M503" i="2"/>
  <c r="Y503" i="2" s="1"/>
  <c r="W132" i="2"/>
  <c r="V132" i="2"/>
  <c r="Y132" i="2" s="1"/>
  <c r="W469" i="2"/>
  <c r="V469" i="2"/>
  <c r="Y469" i="2" s="1"/>
  <c r="U135" i="2"/>
  <c r="X135" i="2" s="1"/>
  <c r="V135" i="2"/>
  <c r="Y135" i="2" s="1"/>
  <c r="L447" i="2"/>
  <c r="X447" i="2" s="1"/>
  <c r="M447" i="2"/>
  <c r="Y447" i="2" s="1"/>
  <c r="U368" i="2"/>
  <c r="X368" i="2" s="1"/>
  <c r="V368" i="2"/>
  <c r="Y368" i="2" s="1"/>
  <c r="L329" i="2"/>
  <c r="X329" i="2" s="1"/>
  <c r="M329" i="2"/>
  <c r="Y329" i="2" s="1"/>
  <c r="U405" i="2"/>
  <c r="X405" i="2" s="1"/>
  <c r="V405" i="2"/>
  <c r="Y405" i="2" s="1"/>
  <c r="W78" i="2"/>
  <c r="M78" i="2"/>
  <c r="Y78" i="2" s="1"/>
  <c r="W149" i="2"/>
  <c r="M149" i="2"/>
  <c r="Y149" i="2" s="1"/>
  <c r="U276" i="2"/>
  <c r="X276" i="2" s="1"/>
  <c r="V276" i="2"/>
  <c r="Y276" i="2" s="1"/>
  <c r="U23" i="2"/>
  <c r="V23" i="2"/>
  <c r="U464" i="2"/>
  <c r="V464" i="2"/>
  <c r="Y464" i="2" s="1"/>
  <c r="U274" i="2"/>
  <c r="V274" i="2"/>
  <c r="Y274" i="2" s="1"/>
  <c r="Y209" i="2"/>
  <c r="U188" i="2"/>
  <c r="X188" i="2" s="1"/>
  <c r="V188" i="2"/>
  <c r="Y188" i="2" s="1"/>
  <c r="U401" i="2"/>
  <c r="V401" i="2"/>
  <c r="Y401" i="2" s="1"/>
  <c r="U449" i="2"/>
  <c r="V449" i="2"/>
  <c r="Y449" i="2" s="1"/>
  <c r="Y402" i="2"/>
  <c r="Y327" i="2"/>
  <c r="U122" i="2"/>
  <c r="V122" i="2"/>
  <c r="Y122" i="2" s="1"/>
  <c r="U172" i="2"/>
  <c r="V172" i="2"/>
  <c r="Y172" i="2" s="1"/>
  <c r="U40" i="2"/>
  <c r="V40" i="2"/>
  <c r="Y40" i="2" s="1"/>
  <c r="U69" i="2"/>
  <c r="V69" i="2"/>
  <c r="Y69" i="2" s="1"/>
  <c r="Y116" i="2"/>
  <c r="U476" i="2"/>
  <c r="X476" i="2" s="1"/>
  <c r="V476" i="2"/>
  <c r="Y476" i="2" s="1"/>
  <c r="U354" i="2"/>
  <c r="V354" i="2"/>
  <c r="Y354" i="2" s="1"/>
  <c r="U200" i="2"/>
  <c r="V200" i="2"/>
  <c r="W384" i="2"/>
  <c r="M384" i="2"/>
  <c r="Y384" i="2" s="1"/>
  <c r="U495" i="2"/>
  <c r="V495" i="2"/>
  <c r="W448" i="2"/>
  <c r="M448" i="2"/>
  <c r="Y448" i="2" s="1"/>
  <c r="L150" i="2"/>
  <c r="X150" i="2" s="1"/>
  <c r="M150" i="2"/>
  <c r="Y150" i="2" s="1"/>
  <c r="W307" i="2"/>
  <c r="V307" i="2"/>
  <c r="Y307" i="2" s="1"/>
  <c r="L413" i="2"/>
  <c r="M413" i="2"/>
  <c r="L152" i="2"/>
  <c r="X152" i="2" s="1"/>
  <c r="M152" i="2"/>
  <c r="Y152" i="2" s="1"/>
  <c r="U399" i="2"/>
  <c r="X399" i="2" s="1"/>
  <c r="V399" i="2"/>
  <c r="Y399" i="2" s="1"/>
  <c r="L186" i="2"/>
  <c r="X186" i="2" s="1"/>
  <c r="M186" i="2"/>
  <c r="Y186" i="2" s="1"/>
  <c r="W201" i="2"/>
  <c r="V201" i="2"/>
  <c r="Y201" i="2" s="1"/>
  <c r="W161" i="2"/>
  <c r="M161" i="2"/>
  <c r="Y161" i="2" s="1"/>
  <c r="W356" i="2"/>
  <c r="M356" i="2"/>
  <c r="Y356" i="2" s="1"/>
  <c r="U336" i="2"/>
  <c r="X336" i="2" s="1"/>
  <c r="V336" i="2"/>
  <c r="Y336" i="2" s="1"/>
  <c r="U477" i="2"/>
  <c r="X477" i="2" s="1"/>
  <c r="V477" i="2"/>
  <c r="Y477" i="2" s="1"/>
  <c r="W124" i="2"/>
  <c r="M124" i="2"/>
  <c r="Y124" i="2" s="1"/>
  <c r="W494" i="2"/>
  <c r="V494" i="2"/>
  <c r="Y494" i="2" s="1"/>
  <c r="L231" i="2"/>
  <c r="X231" i="2" s="1"/>
  <c r="M231" i="2"/>
  <c r="Y231" i="2" s="1"/>
  <c r="U500" i="2"/>
  <c r="X500" i="2" s="1"/>
  <c r="V500" i="2"/>
  <c r="Y500" i="2" s="1"/>
  <c r="U496" i="2"/>
  <c r="X496" i="2" s="1"/>
  <c r="V496" i="2"/>
  <c r="Y496" i="2" s="1"/>
  <c r="Y498" i="2"/>
  <c r="U439" i="2"/>
  <c r="V439" i="2"/>
  <c r="Y439" i="2" s="1"/>
  <c r="U426" i="2"/>
  <c r="V426" i="2"/>
  <c r="Y426" i="2" s="1"/>
  <c r="U220" i="2"/>
  <c r="V220" i="2"/>
  <c r="Y220" i="2" s="1"/>
  <c r="U260" i="2"/>
  <c r="V260" i="2"/>
  <c r="Y260" i="2" s="1"/>
  <c r="Y224" i="2"/>
  <c r="U252" i="2"/>
  <c r="V252" i="2"/>
  <c r="Y252" i="2" s="1"/>
  <c r="U198" i="2"/>
  <c r="V198" i="2"/>
  <c r="Y198" i="2" s="1"/>
  <c r="U67" i="2"/>
  <c r="X67" i="2" s="1"/>
  <c r="V67" i="2"/>
  <c r="Y67" i="2" s="1"/>
  <c r="U97" i="2"/>
  <c r="V97" i="2"/>
  <c r="Y97" i="2" s="1"/>
  <c r="Y94" i="2"/>
  <c r="L165" i="2"/>
  <c r="X165" i="2" s="1"/>
  <c r="M165" i="2"/>
  <c r="Y165" i="2" s="1"/>
  <c r="L466" i="2"/>
  <c r="X466" i="2" s="1"/>
  <c r="M466" i="2"/>
  <c r="Y466" i="2" s="1"/>
  <c r="L348" i="2"/>
  <c r="M348" i="2"/>
  <c r="Y348" i="2" s="1"/>
  <c r="L200" i="2"/>
  <c r="M200" i="2"/>
  <c r="L237" i="2"/>
  <c r="M237" i="2"/>
  <c r="U479" i="2"/>
  <c r="X479" i="2" s="1"/>
  <c r="V479" i="2"/>
  <c r="Y479" i="2" s="1"/>
  <c r="W425" i="2"/>
  <c r="V425" i="2"/>
  <c r="Y425" i="2" s="1"/>
  <c r="U96" i="2"/>
  <c r="V96" i="2"/>
  <c r="Y96" i="2" s="1"/>
  <c r="L289" i="2"/>
  <c r="M289" i="2"/>
  <c r="Y289" i="2" s="1"/>
  <c r="U110" i="2"/>
  <c r="V110" i="2"/>
  <c r="Y110" i="2" s="1"/>
  <c r="U51" i="2"/>
  <c r="V51" i="2"/>
  <c r="Y51" i="2" s="1"/>
  <c r="L417" i="2"/>
  <c r="M417" i="2"/>
  <c r="U413" i="2"/>
  <c r="V413" i="2"/>
  <c r="U513" i="2"/>
  <c r="V513" i="2"/>
  <c r="U359" i="2"/>
  <c r="X359" i="2" s="1"/>
  <c r="V359" i="2"/>
  <c r="Y359" i="2" s="1"/>
  <c r="W133" i="2"/>
  <c r="M133" i="2"/>
  <c r="Y133" i="2" s="1"/>
  <c r="W87" i="2"/>
  <c r="M87" i="2"/>
  <c r="Y87" i="2" s="1"/>
  <c r="U254" i="2"/>
  <c r="X254" i="2" s="1"/>
  <c r="V254" i="2"/>
  <c r="Y254" i="2" s="1"/>
  <c r="U347" i="2"/>
  <c r="X347" i="2" s="1"/>
  <c r="V347" i="2"/>
  <c r="Y347" i="2" s="1"/>
  <c r="W321" i="2"/>
  <c r="M321" i="2"/>
  <c r="Y321" i="2" s="1"/>
  <c r="W470" i="2"/>
  <c r="M470" i="2"/>
  <c r="Y470" i="2" s="1"/>
  <c r="U114" i="2"/>
  <c r="X114" i="2" s="1"/>
  <c r="V114" i="2"/>
  <c r="Y114" i="2" s="1"/>
  <c r="L410" i="2"/>
  <c r="X410" i="2" s="1"/>
  <c r="M410" i="2"/>
  <c r="Y410" i="2" s="1"/>
  <c r="L492" i="2"/>
  <c r="X492" i="2" s="1"/>
  <c r="M492" i="2"/>
  <c r="Y492" i="2" s="1"/>
  <c r="U471" i="2"/>
  <c r="X471" i="2" s="1"/>
  <c r="V471" i="2"/>
  <c r="Y471" i="2" s="1"/>
  <c r="W467" i="2"/>
  <c r="M467" i="2"/>
  <c r="Y467" i="2" s="1"/>
  <c r="Y429" i="2"/>
  <c r="U358" i="2"/>
  <c r="V358" i="2"/>
  <c r="Y358" i="2" s="1"/>
  <c r="U177" i="2"/>
  <c r="X177" i="2" s="1"/>
  <c r="V177" i="2"/>
  <c r="Y177" i="2" s="1"/>
  <c r="U170" i="2"/>
  <c r="V170" i="2"/>
  <c r="Y170" i="2" s="1"/>
  <c r="W310" i="2"/>
  <c r="M310" i="2"/>
  <c r="Y310" i="2" s="1"/>
  <c r="U450" i="2"/>
  <c r="X450" i="2" s="1"/>
  <c r="V450" i="2"/>
  <c r="Y450" i="2" s="1"/>
  <c r="U304" i="2"/>
  <c r="V304" i="2"/>
  <c r="U468" i="2"/>
  <c r="V468" i="2"/>
  <c r="U136" i="2"/>
  <c r="V136" i="2"/>
  <c r="Y136" i="2" s="1"/>
  <c r="U417" i="2"/>
  <c r="V417" i="2"/>
  <c r="L64" i="2"/>
  <c r="M64" i="2"/>
  <c r="Y64" i="2" s="1"/>
  <c r="U108" i="2"/>
  <c r="X108" i="2" s="1"/>
  <c r="V108" i="2"/>
  <c r="Y108" i="2" s="1"/>
  <c r="U205" i="2"/>
  <c r="X205" i="2" s="1"/>
  <c r="V205" i="2"/>
  <c r="Y205" i="2" s="1"/>
  <c r="L305" i="2"/>
  <c r="X305" i="2" s="1"/>
  <c r="M305" i="2"/>
  <c r="Y305" i="2" s="1"/>
  <c r="L432" i="2"/>
  <c r="X432" i="2" s="1"/>
  <c r="M432" i="2"/>
  <c r="Y432" i="2" s="1"/>
  <c r="W211" i="2"/>
  <c r="M211" i="2"/>
  <c r="Y211" i="2" s="1"/>
  <c r="L472" i="2"/>
  <c r="X472" i="2" s="1"/>
  <c r="M472" i="2"/>
  <c r="Y472" i="2" s="1"/>
  <c r="W455" i="2"/>
  <c r="M455" i="2"/>
  <c r="Y455" i="2" s="1"/>
  <c r="U414" i="2"/>
  <c r="V414" i="2"/>
  <c r="Y414" i="2" s="1"/>
  <c r="U183" i="2"/>
  <c r="X183" i="2" s="1"/>
  <c r="V183" i="2"/>
  <c r="Y183" i="2" s="1"/>
  <c r="Y54" i="2"/>
  <c r="U28" i="2"/>
  <c r="V28" i="2"/>
  <c r="Y28" i="2" s="1"/>
  <c r="U258" i="2"/>
  <c r="X258" i="2" s="1"/>
  <c r="V258" i="2"/>
  <c r="Y258" i="2" s="1"/>
  <c r="W445" i="2"/>
  <c r="M445" i="2"/>
  <c r="Y445" i="2" s="1"/>
  <c r="L304" i="2"/>
  <c r="M304" i="2"/>
  <c r="U171" i="2"/>
  <c r="V171" i="2"/>
  <c r="Y171" i="2" s="1"/>
  <c r="W398" i="2"/>
  <c r="M398" i="2"/>
  <c r="Y398" i="2" s="1"/>
  <c r="U182" i="2"/>
  <c r="V182" i="2"/>
  <c r="W108" i="2"/>
  <c r="L236" i="2"/>
  <c r="M236" i="2"/>
  <c r="U312" i="2"/>
  <c r="X312" i="2" s="1"/>
  <c r="V312" i="2"/>
  <c r="Y312" i="2" s="1"/>
  <c r="W349" i="2"/>
  <c r="M349" i="2"/>
  <c r="Y349" i="2" s="1"/>
  <c r="L301" i="2"/>
  <c r="X301" i="2" s="1"/>
  <c r="M301" i="2"/>
  <c r="Y301" i="2" s="1"/>
  <c r="U345" i="2"/>
  <c r="X345" i="2" s="1"/>
  <c r="V345" i="2"/>
  <c r="Y345" i="2" s="1"/>
  <c r="L474" i="2"/>
  <c r="X474" i="2" s="1"/>
  <c r="M474" i="2"/>
  <c r="Y474" i="2" s="1"/>
  <c r="U55" i="2"/>
  <c r="X55" i="2" s="1"/>
  <c r="V55" i="2"/>
  <c r="Y55" i="2" s="1"/>
  <c r="U408" i="2"/>
  <c r="V408" i="2"/>
  <c r="Y408" i="2" s="1"/>
  <c r="Y273" i="2"/>
  <c r="U222" i="2"/>
  <c r="X222" i="2" s="1"/>
  <c r="V222" i="2"/>
  <c r="Y222" i="2" s="1"/>
  <c r="U173" i="2"/>
  <c r="V173" i="2"/>
  <c r="Y173" i="2" s="1"/>
  <c r="Y168" i="2"/>
  <c r="U142" i="2"/>
  <c r="V142" i="2"/>
  <c r="Y142" i="2" s="1"/>
  <c r="U106" i="2"/>
  <c r="V106" i="2"/>
  <c r="Y106" i="2" s="1"/>
  <c r="U197" i="2"/>
  <c r="X197" i="2" s="1"/>
  <c r="V197" i="2"/>
  <c r="Y197" i="2" s="1"/>
  <c r="L441" i="2"/>
  <c r="X441" i="2" s="1"/>
  <c r="M441" i="2"/>
  <c r="Y441" i="2" s="1"/>
  <c r="L253" i="2"/>
  <c r="M253" i="2"/>
  <c r="U98" i="2"/>
  <c r="V98" i="2"/>
  <c r="U295" i="2"/>
  <c r="X295" i="2" s="1"/>
  <c r="V295" i="2"/>
  <c r="Y295" i="2" s="1"/>
  <c r="L70" i="2"/>
  <c r="X70" i="2" s="1"/>
  <c r="M70" i="2"/>
  <c r="Y70" i="2" s="1"/>
  <c r="U154" i="2"/>
  <c r="X154" i="2" s="1"/>
  <c r="V154" i="2"/>
  <c r="Y154" i="2" s="1"/>
  <c r="U68" i="2"/>
  <c r="V68" i="2"/>
  <c r="L182" i="2"/>
  <c r="M182" i="2"/>
  <c r="U428" i="2"/>
  <c r="V428" i="2"/>
  <c r="Y428" i="2" s="1"/>
  <c r="U306" i="2"/>
  <c r="V306" i="2"/>
  <c r="Y306" i="2" s="1"/>
  <c r="W148" i="2"/>
  <c r="V148" i="2"/>
  <c r="Y148" i="2" s="1"/>
  <c r="U452" i="2"/>
  <c r="V452" i="2"/>
  <c r="U303" i="2"/>
  <c r="X303" i="2" s="1"/>
  <c r="V303" i="2"/>
  <c r="Y303" i="2" s="1"/>
  <c r="U185" i="2"/>
  <c r="X185" i="2" s="1"/>
  <c r="V185" i="2"/>
  <c r="Y185" i="2" s="1"/>
  <c r="L318" i="2"/>
  <c r="X318" i="2" s="1"/>
  <c r="M318" i="2"/>
  <c r="Y318" i="2" s="1"/>
  <c r="U331" i="2"/>
  <c r="X331" i="2" s="1"/>
  <c r="V331" i="2"/>
  <c r="Y331" i="2" s="1"/>
  <c r="U293" i="2"/>
  <c r="X293" i="2" s="1"/>
  <c r="V293" i="2"/>
  <c r="Y293" i="2" s="1"/>
  <c r="U518" i="2"/>
  <c r="X518" i="2" s="1"/>
  <c r="V518" i="2"/>
  <c r="Y518" i="2" s="1"/>
  <c r="L337" i="2"/>
  <c r="X337" i="2" s="1"/>
  <c r="M337" i="2"/>
  <c r="Y337" i="2" s="1"/>
  <c r="W24" i="2"/>
  <c r="V24" i="2"/>
  <c r="Y24" i="2" s="1"/>
  <c r="U147" i="2"/>
  <c r="X147" i="2" s="1"/>
  <c r="V147" i="2"/>
  <c r="Y147" i="2" s="1"/>
  <c r="W238" i="2"/>
  <c r="V238" i="2"/>
  <c r="Y238" i="2" s="1"/>
  <c r="U326" i="2"/>
  <c r="X326" i="2" s="1"/>
  <c r="V326" i="2"/>
  <c r="Y326" i="2" s="1"/>
  <c r="W187" i="2"/>
  <c r="M187" i="2"/>
  <c r="Y187" i="2" s="1"/>
  <c r="U342" i="2"/>
  <c r="X342" i="2" s="1"/>
  <c r="V342" i="2"/>
  <c r="Y342" i="2" s="1"/>
  <c r="Y444" i="2"/>
  <c r="U433" i="2"/>
  <c r="V433" i="2"/>
  <c r="Y433" i="2" s="1"/>
  <c r="U512" i="2"/>
  <c r="V512" i="2"/>
  <c r="Y512" i="2" s="1"/>
  <c r="U380" i="2"/>
  <c r="V380" i="2"/>
  <c r="Y380" i="2" s="1"/>
  <c r="U194" i="2"/>
  <c r="X194" i="2" s="1"/>
  <c r="V194" i="2"/>
  <c r="Y194" i="2" s="1"/>
  <c r="U127" i="2"/>
  <c r="V127" i="2"/>
  <c r="Y127" i="2" s="1"/>
  <c r="U42" i="2"/>
  <c r="X42" i="2" s="1"/>
  <c r="V42" i="2"/>
  <c r="Y42" i="2" s="1"/>
  <c r="L156" i="2"/>
  <c r="X156" i="2" s="1"/>
  <c r="M156" i="2"/>
  <c r="Y156" i="2" s="1"/>
  <c r="U317" i="2"/>
  <c r="V317" i="2"/>
  <c r="U490" i="2"/>
  <c r="V490" i="2"/>
  <c r="Y490" i="2" s="1"/>
  <c r="U237" i="2"/>
  <c r="V237" i="2"/>
  <c r="L420" i="2"/>
  <c r="X420" i="2" s="1"/>
  <c r="M420" i="2"/>
  <c r="Y420" i="2" s="1"/>
  <c r="U501" i="2"/>
  <c r="V501" i="2"/>
  <c r="U236" i="2"/>
  <c r="V236" i="2"/>
  <c r="L513" i="2"/>
  <c r="M513" i="2"/>
  <c r="U335" i="2"/>
  <c r="X335" i="2" s="1"/>
  <c r="V335" i="2"/>
  <c r="Y335" i="2" s="1"/>
  <c r="U58" i="2"/>
  <c r="X58" i="2" s="1"/>
  <c r="V58" i="2"/>
  <c r="Y58" i="2" s="1"/>
  <c r="L338" i="2"/>
  <c r="X338" i="2" s="1"/>
  <c r="M338" i="2"/>
  <c r="Y338" i="2" s="1"/>
  <c r="U107" i="2"/>
  <c r="X107" i="2" s="1"/>
  <c r="V107" i="2"/>
  <c r="Y107" i="2" s="1"/>
  <c r="W366" i="2"/>
  <c r="M366" i="2"/>
  <c r="Y366" i="2" s="1"/>
  <c r="Y451" i="2"/>
  <c r="U409" i="2"/>
  <c r="V409" i="2"/>
  <c r="Y409" i="2" s="1"/>
  <c r="U255" i="2"/>
  <c r="V255" i="2"/>
  <c r="Y255" i="2" s="1"/>
  <c r="U240" i="2"/>
  <c r="V240" i="2"/>
  <c r="Y240" i="2" s="1"/>
  <c r="U59" i="2"/>
  <c r="V59" i="2"/>
  <c r="Y59" i="2" s="1"/>
  <c r="U109" i="2"/>
  <c r="V109" i="2"/>
  <c r="Y109" i="2" s="1"/>
  <c r="Y113" i="2"/>
  <c r="U195" i="2"/>
  <c r="V195" i="2"/>
  <c r="Y195" i="2" s="1"/>
  <c r="U125" i="2"/>
  <c r="X125" i="2" s="1"/>
  <c r="V125" i="2"/>
  <c r="Y125" i="2" s="1"/>
  <c r="L317" i="2"/>
  <c r="M317" i="2"/>
  <c r="L468" i="2"/>
  <c r="M468" i="2"/>
  <c r="U89" i="2"/>
  <c r="X89" i="2" s="1"/>
  <c r="V89" i="2"/>
  <c r="Y89" i="2" s="1"/>
  <c r="L81" i="2"/>
  <c r="X81" i="2" s="1"/>
  <c r="M81" i="2"/>
  <c r="Y81" i="2" s="1"/>
  <c r="L501" i="2"/>
  <c r="M501" i="2"/>
  <c r="L452" i="2"/>
  <c r="M452" i="2"/>
  <c r="W281" i="2"/>
  <c r="M281" i="2"/>
  <c r="Y281" i="2" s="1"/>
  <c r="U126" i="2"/>
  <c r="X126" i="2" s="1"/>
  <c r="V126" i="2"/>
  <c r="Y126" i="2" s="1"/>
  <c r="U272" i="2"/>
  <c r="X272" i="2" s="1"/>
  <c r="V272" i="2"/>
  <c r="Y272" i="2" s="1"/>
  <c r="U99" i="2"/>
  <c r="X99" i="2" s="1"/>
  <c r="V99" i="2"/>
  <c r="Y99" i="2" s="1"/>
  <c r="L400" i="2"/>
  <c r="X400" i="2" s="1"/>
  <c r="M400" i="2"/>
  <c r="Y400" i="2" s="1"/>
  <c r="W442" i="2"/>
  <c r="M442" i="2"/>
  <c r="Y442" i="2" s="1"/>
  <c r="U104" i="2"/>
  <c r="X104" i="2" s="1"/>
  <c r="V104" i="2"/>
  <c r="Y104" i="2" s="1"/>
  <c r="U508" i="2"/>
  <c r="V508" i="2"/>
  <c r="Y508" i="2" s="1"/>
  <c r="U506" i="2"/>
  <c r="V506" i="2"/>
  <c r="Y506" i="2" s="1"/>
  <c r="Y343" i="2"/>
  <c r="U299" i="2"/>
  <c r="V299" i="2"/>
  <c r="Y299" i="2" s="1"/>
  <c r="Y164" i="2"/>
  <c r="U509" i="2"/>
  <c r="V509" i="2"/>
  <c r="Y509" i="2" s="1"/>
  <c r="Y456" i="2"/>
  <c r="Y396" i="2"/>
  <c r="U411" i="2"/>
  <c r="V411" i="2"/>
  <c r="Y411" i="2" s="1"/>
  <c r="U505" i="2"/>
  <c r="V505" i="2"/>
  <c r="Y505" i="2" s="1"/>
  <c r="U383" i="2"/>
  <c r="V383" i="2"/>
  <c r="Y383" i="2" s="1"/>
  <c r="Y325" i="2"/>
  <c r="U249" i="2"/>
  <c r="V249" i="2"/>
  <c r="Y249" i="2" s="1"/>
  <c r="Y290" i="2"/>
  <c r="U176" i="2"/>
  <c r="V176" i="2"/>
  <c r="Y176" i="2" s="1"/>
  <c r="Y141" i="2"/>
  <c r="Y128" i="2"/>
  <c r="U174" i="2"/>
  <c r="V174" i="2"/>
  <c r="Y174" i="2" s="1"/>
  <c r="U180" i="2"/>
  <c r="V180" i="2"/>
  <c r="Y180" i="2" s="1"/>
  <c r="Y76" i="2"/>
  <c r="U169" i="2"/>
  <c r="X169" i="2" s="1"/>
  <c r="V169" i="2"/>
  <c r="Y169" i="2" s="1"/>
  <c r="U77" i="2"/>
  <c r="X77" i="2" s="1"/>
  <c r="V77" i="2"/>
  <c r="Y77" i="2" s="1"/>
  <c r="W393" i="2"/>
  <c r="M393" i="2"/>
  <c r="Y393" i="2" s="1"/>
  <c r="U253" i="2"/>
  <c r="V253" i="2"/>
  <c r="L98" i="2"/>
  <c r="M98" i="2"/>
  <c r="U415" i="2"/>
  <c r="V415" i="2"/>
  <c r="Y415" i="2" s="1"/>
  <c r="L178" i="2"/>
  <c r="X178" i="2" s="1"/>
  <c r="M178" i="2"/>
  <c r="Y178" i="2" s="1"/>
  <c r="L30" i="2"/>
  <c r="X30" i="2" s="1"/>
  <c r="M30" i="2"/>
  <c r="Y30" i="2" s="1"/>
  <c r="U143" i="2"/>
  <c r="X143" i="2" s="1"/>
  <c r="V143" i="2"/>
  <c r="Y143" i="2" s="1"/>
  <c r="L68" i="2"/>
  <c r="M68" i="2"/>
  <c r="U157" i="2"/>
  <c r="X157" i="2" s="1"/>
  <c r="V157" i="2"/>
  <c r="Y157" i="2" s="1"/>
  <c r="L418" i="2"/>
  <c r="X418" i="2" s="1"/>
  <c r="M418" i="2"/>
  <c r="Y418" i="2" s="1"/>
  <c r="L267" i="2"/>
  <c r="M267" i="2"/>
  <c r="U375" i="2"/>
  <c r="V375" i="2"/>
  <c r="Y375" i="2" s="1"/>
  <c r="U286" i="2"/>
  <c r="X286" i="2" s="1"/>
  <c r="V286" i="2"/>
  <c r="Y286" i="2" s="1"/>
  <c r="L361" i="2"/>
  <c r="X361" i="2" s="1"/>
  <c r="M361" i="2"/>
  <c r="Y361" i="2" s="1"/>
  <c r="L270" i="2"/>
  <c r="X270" i="2" s="1"/>
  <c r="M270" i="2"/>
  <c r="Y270" i="2" s="1"/>
  <c r="U264" i="2"/>
  <c r="X264" i="2" s="1"/>
  <c r="V264" i="2"/>
  <c r="Y264" i="2" s="1"/>
  <c r="U239" i="2"/>
  <c r="X239" i="2" s="1"/>
  <c r="V239" i="2"/>
  <c r="Y239" i="2" s="1"/>
  <c r="U485" i="2"/>
  <c r="X485" i="2" s="1"/>
  <c r="V485" i="2"/>
  <c r="Y485" i="2" s="1"/>
  <c r="L330" i="2"/>
  <c r="X330" i="2" s="1"/>
  <c r="M330" i="2"/>
  <c r="Y330" i="2" s="1"/>
  <c r="L519" i="2"/>
  <c r="X519" i="2" s="1"/>
  <c r="M519" i="2"/>
  <c r="Y519" i="2" s="1"/>
  <c r="U39" i="2"/>
  <c r="X39" i="2" s="1"/>
  <c r="V39" i="2"/>
  <c r="Y39" i="2" s="1"/>
  <c r="L225" i="2"/>
  <c r="X225" i="2" s="1"/>
  <c r="M225" i="2"/>
  <c r="Y225" i="2" s="1"/>
  <c r="U33" i="2"/>
  <c r="X33" i="2" s="1"/>
  <c r="V33" i="2"/>
  <c r="Y33" i="2" s="1"/>
  <c r="U412" i="2"/>
  <c r="X412" i="2" s="1"/>
  <c r="V412" i="2"/>
  <c r="Y412" i="2" s="1"/>
  <c r="Y123" i="2"/>
  <c r="U296" i="2"/>
  <c r="V296" i="2"/>
  <c r="Y296" i="2" s="1"/>
  <c r="U511" i="2"/>
  <c r="V511" i="2"/>
  <c r="Y511" i="2" s="1"/>
  <c r="U486" i="2"/>
  <c r="V486" i="2"/>
  <c r="Y486" i="2" s="1"/>
  <c r="U311" i="2"/>
  <c r="V311" i="2"/>
  <c r="Y311" i="2" s="1"/>
  <c r="U217" i="2"/>
  <c r="V217" i="2"/>
  <c r="Y217" i="2" s="1"/>
  <c r="U280" i="2"/>
  <c r="V280" i="2"/>
  <c r="Y280" i="2" s="1"/>
  <c r="Y155" i="2"/>
  <c r="U62" i="2"/>
  <c r="V62" i="2"/>
  <c r="Y62" i="2" s="1"/>
  <c r="U56" i="2"/>
  <c r="V56" i="2"/>
  <c r="Y56" i="2" s="1"/>
  <c r="U53" i="2"/>
  <c r="V53" i="2"/>
  <c r="Y53" i="2" s="1"/>
  <c r="U100" i="2"/>
  <c r="V100" i="2"/>
  <c r="Y100" i="2" s="1"/>
  <c r="U82" i="2"/>
  <c r="X82" i="2" s="1"/>
  <c r="V82" i="2"/>
  <c r="Y82" i="2" s="1"/>
  <c r="L52" i="2"/>
  <c r="X52" i="2" s="1"/>
  <c r="M52" i="2"/>
  <c r="Y52" i="2" s="1"/>
  <c r="Y390" i="2"/>
  <c r="L206" i="2"/>
  <c r="M206" i="2"/>
  <c r="U71" i="2"/>
  <c r="V71" i="2"/>
  <c r="L158" i="2"/>
  <c r="X158" i="2" s="1"/>
  <c r="M158" i="2"/>
  <c r="Y158" i="2" s="1"/>
  <c r="U339" i="2"/>
  <c r="X339" i="2" s="1"/>
  <c r="V339" i="2"/>
  <c r="Y339" i="2" s="1"/>
  <c r="L101" i="2"/>
  <c r="X101" i="2" s="1"/>
  <c r="M101" i="2"/>
  <c r="Y101" i="2" s="1"/>
  <c r="U314" i="2"/>
  <c r="X314" i="2" s="1"/>
  <c r="V314" i="2"/>
  <c r="Y314" i="2" s="1"/>
  <c r="U323" i="2"/>
  <c r="V323" i="2"/>
  <c r="Y323" i="2" s="1"/>
  <c r="U267" i="2"/>
  <c r="V267" i="2"/>
  <c r="U139" i="2"/>
  <c r="V139" i="2"/>
  <c r="Y139" i="2" s="1"/>
  <c r="U278" i="2"/>
  <c r="X278" i="2" s="1"/>
  <c r="V278" i="2"/>
  <c r="Y278" i="2" s="1"/>
  <c r="U138" i="2"/>
  <c r="X138" i="2" s="1"/>
  <c r="V138" i="2"/>
  <c r="Y138" i="2" s="1"/>
  <c r="L516" i="2"/>
  <c r="X516" i="2" s="1"/>
  <c r="M516" i="2"/>
  <c r="Y516" i="2" s="1"/>
  <c r="W437" i="2"/>
  <c r="M437" i="2"/>
  <c r="Y437" i="2" s="1"/>
  <c r="W160" i="2"/>
  <c r="V160" i="2"/>
  <c r="Y160" i="2" s="1"/>
  <c r="L431" i="2"/>
  <c r="X431" i="2" s="1"/>
  <c r="M431" i="2"/>
  <c r="Y431" i="2" s="1"/>
  <c r="U322" i="2"/>
  <c r="X322" i="2" s="1"/>
  <c r="V322" i="2"/>
  <c r="Y322" i="2" s="1"/>
  <c r="U454" i="2"/>
  <c r="X454" i="2" s="1"/>
  <c r="V454" i="2"/>
  <c r="Y454" i="2" s="1"/>
  <c r="U514" i="2"/>
  <c r="X514" i="2" s="1"/>
  <c r="V514" i="2"/>
  <c r="Y514" i="2" s="1"/>
  <c r="L27" i="2"/>
  <c r="X27" i="2" s="1"/>
  <c r="M27" i="2"/>
  <c r="Y27" i="2" s="1"/>
  <c r="W489" i="2"/>
  <c r="M489" i="2"/>
  <c r="Y489" i="2" s="1"/>
  <c r="L419" i="2"/>
  <c r="X419" i="2" s="1"/>
  <c r="M419" i="2"/>
  <c r="Y419" i="2" s="1"/>
  <c r="E7" i="2"/>
  <c r="L235" i="2"/>
  <c r="X235" i="2" s="1"/>
  <c r="M235" i="2"/>
  <c r="Y235" i="2" s="1"/>
  <c r="U483" i="2"/>
  <c r="V483" i="2"/>
  <c r="Y483" i="2" s="1"/>
  <c r="U436" i="2"/>
  <c r="V436" i="2"/>
  <c r="Y436" i="2" s="1"/>
  <c r="U487" i="2"/>
  <c r="V487" i="2"/>
  <c r="Y487" i="2" s="1"/>
  <c r="U458" i="2"/>
  <c r="V458" i="2"/>
  <c r="Y458" i="2" s="1"/>
  <c r="U333" i="2"/>
  <c r="V333" i="2"/>
  <c r="Y333" i="2" s="1"/>
  <c r="Y357" i="2"/>
  <c r="U277" i="2"/>
  <c r="V277" i="2"/>
  <c r="Y277" i="2" s="1"/>
  <c r="U371" i="2"/>
  <c r="V371" i="2"/>
  <c r="Y371" i="2" s="1"/>
  <c r="Y93" i="2"/>
  <c r="U47" i="2"/>
  <c r="V47" i="2"/>
  <c r="Y47" i="2" s="1"/>
  <c r="Y63" i="2"/>
  <c r="W72" i="2"/>
  <c r="M72" i="2"/>
  <c r="Y72" i="2" s="1"/>
  <c r="U46" i="2"/>
  <c r="X46" i="2" s="1"/>
  <c r="V46" i="2"/>
  <c r="Y46" i="2" s="1"/>
  <c r="W341" i="2"/>
  <c r="M341" i="2"/>
  <c r="Y341" i="2" s="1"/>
  <c r="U206" i="2"/>
  <c r="V206" i="2"/>
  <c r="L71" i="2"/>
  <c r="M71" i="2"/>
  <c r="U334" i="2"/>
  <c r="X334" i="2" s="1"/>
  <c r="V334" i="2"/>
  <c r="Y334" i="2" s="1"/>
  <c r="Y388" i="2"/>
  <c r="U515" i="2"/>
  <c r="V515" i="2"/>
  <c r="Y515" i="2" s="1"/>
  <c r="W291" i="2"/>
  <c r="V291" i="2"/>
  <c r="Y291" i="2" s="1"/>
  <c r="U210" i="2"/>
  <c r="V210" i="2"/>
  <c r="Y210" i="2" s="1"/>
  <c r="L36" i="2"/>
  <c r="X36" i="2" s="1"/>
  <c r="M36" i="2"/>
  <c r="Y36" i="2" s="1"/>
  <c r="U261" i="2"/>
  <c r="X261" i="2" s="1"/>
  <c r="V261" i="2"/>
  <c r="Y261" i="2" s="1"/>
  <c r="U79" i="2"/>
  <c r="V79" i="2"/>
  <c r="Y79" i="2" s="1"/>
  <c r="U287" i="2"/>
  <c r="V287" i="2"/>
  <c r="Y287" i="2" s="1"/>
  <c r="U120" i="2"/>
  <c r="X120" i="2" s="1"/>
  <c r="V120" i="2"/>
  <c r="Y120" i="2" s="1"/>
  <c r="U86" i="2"/>
  <c r="X86" i="2" s="1"/>
  <c r="V86" i="2"/>
  <c r="Y86" i="2" s="1"/>
  <c r="L131" i="2"/>
  <c r="X131" i="2" s="1"/>
  <c r="M131" i="2"/>
  <c r="Y131" i="2" s="1"/>
  <c r="L491" i="2"/>
  <c r="X491" i="2" s="1"/>
  <c r="M491" i="2"/>
  <c r="Y491" i="2" s="1"/>
  <c r="L191" i="2"/>
  <c r="X191" i="2" s="1"/>
  <c r="M191" i="2"/>
  <c r="Y191" i="2" s="1"/>
  <c r="U92" i="2"/>
  <c r="X92" i="2" s="1"/>
  <c r="V92" i="2"/>
  <c r="Y92" i="2" s="1"/>
  <c r="U394" i="2"/>
  <c r="X394" i="2" s="1"/>
  <c r="V394" i="2"/>
  <c r="Y394" i="2" s="1"/>
  <c r="U315" i="2"/>
  <c r="X315" i="2" s="1"/>
  <c r="V315" i="2"/>
  <c r="Y315" i="2" s="1"/>
  <c r="W423" i="2"/>
  <c r="M423" i="2"/>
  <c r="Y423" i="2" s="1"/>
  <c r="U504" i="2"/>
  <c r="X504" i="2" s="1"/>
  <c r="V504" i="2"/>
  <c r="Y504" i="2" s="1"/>
  <c r="W151" i="2"/>
  <c r="V151" i="2"/>
  <c r="Y151" i="2" s="1"/>
  <c r="U74" i="2"/>
  <c r="X74" i="2" s="1"/>
  <c r="V74" i="2"/>
  <c r="Y74" i="2" s="1"/>
  <c r="W225" i="2"/>
  <c r="W338" i="2"/>
  <c r="U238" i="2"/>
  <c r="X238" i="2" s="1"/>
  <c r="L467" i="2"/>
  <c r="X467" i="2" s="1"/>
  <c r="W305" i="2"/>
  <c r="W33" i="2"/>
  <c r="W322" i="2"/>
  <c r="W412" i="2"/>
  <c r="W23" i="2"/>
  <c r="W514" i="2"/>
  <c r="W342" i="2"/>
  <c r="L437" i="2"/>
  <c r="X437" i="2" s="1"/>
  <c r="W431" i="2"/>
  <c r="W519" i="2"/>
  <c r="W104" i="2"/>
  <c r="W39" i="2"/>
  <c r="W478" i="2"/>
  <c r="W394" i="2"/>
  <c r="W61" i="2"/>
  <c r="W447" i="2"/>
  <c r="W368" i="2"/>
  <c r="U494" i="2"/>
  <c r="X494" i="2" s="1"/>
  <c r="W264" i="2"/>
  <c r="W496" i="2"/>
  <c r="L423" i="2"/>
  <c r="X423" i="2" s="1"/>
  <c r="W92" i="2"/>
  <c r="W107" i="2"/>
  <c r="L470" i="2"/>
  <c r="X470" i="2" s="1"/>
  <c r="W491" i="2"/>
  <c r="W482" i="2"/>
  <c r="L455" i="2"/>
  <c r="X455" i="2" s="1"/>
  <c r="W191" i="2"/>
  <c r="W500" i="2"/>
  <c r="W474" i="2"/>
  <c r="W312" i="2"/>
  <c r="W466" i="2"/>
  <c r="W131" i="2"/>
  <c r="W75" i="2"/>
  <c r="W213" i="2"/>
  <c r="W295" i="2"/>
  <c r="W239" i="2"/>
  <c r="W86" i="2"/>
  <c r="W315" i="2"/>
  <c r="W450" i="2"/>
  <c r="W306" i="2"/>
  <c r="W293" i="2"/>
  <c r="W49" i="2"/>
  <c r="W415" i="2"/>
  <c r="W136" i="2"/>
  <c r="W296" i="2"/>
  <c r="W51" i="2"/>
  <c r="W244" i="2"/>
  <c r="W208" i="2"/>
  <c r="W460" i="2"/>
  <c r="L149" i="2"/>
  <c r="X149" i="2" s="1"/>
  <c r="W27" i="2"/>
  <c r="L133" i="2"/>
  <c r="X133" i="2" s="1"/>
  <c r="W117" i="2"/>
  <c r="W379" i="2"/>
  <c r="W363" i="2"/>
  <c r="W504" i="2"/>
  <c r="W84" i="2"/>
  <c r="L489" i="2"/>
  <c r="X489" i="2" s="1"/>
  <c r="W476" i="2"/>
  <c r="W457" i="2"/>
  <c r="W465" i="2"/>
  <c r="W294" i="2"/>
  <c r="L296" i="2"/>
  <c r="W98" i="2"/>
  <c r="W48" i="2"/>
  <c r="W228" i="2"/>
  <c r="W507" i="2"/>
  <c r="U416" i="2"/>
  <c r="X416" i="2" s="1"/>
  <c r="L51" i="2"/>
  <c r="W404" i="2"/>
  <c r="W471" i="2"/>
  <c r="W242" i="2"/>
  <c r="W125" i="2"/>
  <c r="L442" i="2"/>
  <c r="X442" i="2" s="1"/>
  <c r="L115" i="2"/>
  <c r="X115" i="2" s="1"/>
  <c r="L366" i="2"/>
  <c r="X366" i="2" s="1"/>
  <c r="W138" i="2"/>
  <c r="W185" i="2"/>
  <c r="W517" i="2"/>
  <c r="W454" i="2"/>
  <c r="U298" i="2"/>
  <c r="X298" i="2" s="1"/>
  <c r="U160" i="2"/>
  <c r="X160" i="2" s="1"/>
  <c r="W74" i="2"/>
  <c r="L32" i="2"/>
  <c r="X32" i="2" s="1"/>
  <c r="U24" i="2"/>
  <c r="X24" i="2" s="1"/>
  <c r="W286" i="2"/>
  <c r="U151" i="2"/>
  <c r="X151" i="2" s="1"/>
  <c r="W326" i="2"/>
  <c r="W162" i="2"/>
  <c r="W278" i="2"/>
  <c r="W422" i="2"/>
  <c r="L281" i="2"/>
  <c r="X281" i="2" s="1"/>
  <c r="W516" i="2"/>
  <c r="W492" i="2"/>
  <c r="W472" i="2"/>
  <c r="W303" i="2"/>
  <c r="L187" i="2"/>
  <c r="X187" i="2" s="1"/>
  <c r="W331" i="2"/>
  <c r="W158" i="2"/>
  <c r="W165" i="2"/>
  <c r="W354" i="2"/>
  <c r="W515" i="2"/>
  <c r="W79" i="2"/>
  <c r="W152" i="2"/>
  <c r="W495" i="2"/>
  <c r="W359" i="2"/>
  <c r="L211" i="2"/>
  <c r="X211" i="2" s="1"/>
  <c r="W186" i="2"/>
  <c r="W52" i="2"/>
  <c r="W81" i="2"/>
  <c r="W364" i="2"/>
  <c r="W407" i="2"/>
  <c r="W501" i="2"/>
  <c r="L515" i="2"/>
  <c r="W254" i="2"/>
  <c r="W231" i="2"/>
  <c r="W518" i="2"/>
  <c r="W89" i="2"/>
  <c r="W382" i="2"/>
  <c r="W95" i="2"/>
  <c r="U204" i="2"/>
  <c r="X204" i="2" s="1"/>
  <c r="W339" i="2"/>
  <c r="W276" i="2"/>
  <c r="W316" i="2"/>
  <c r="L321" i="2"/>
  <c r="X321" i="2" s="1"/>
  <c r="L161" i="2"/>
  <c r="X161" i="2" s="1"/>
  <c r="L196" i="2"/>
  <c r="X196" i="2" s="1"/>
  <c r="W184" i="2"/>
  <c r="W55" i="2"/>
  <c r="W399" i="2"/>
  <c r="W362" i="2"/>
  <c r="W301" i="2"/>
  <c r="W227" i="2"/>
  <c r="W200" i="2"/>
  <c r="W236" i="2"/>
  <c r="L87" i="2"/>
  <c r="X87" i="2" s="1"/>
  <c r="W226" i="2"/>
  <c r="W110" i="2"/>
  <c r="W513" i="2"/>
  <c r="L356" i="2"/>
  <c r="X356" i="2" s="1"/>
  <c r="U201" i="2"/>
  <c r="X201" i="2" s="1"/>
  <c r="L124" i="2"/>
  <c r="X124" i="2" s="1"/>
  <c r="W235" i="2"/>
  <c r="W120" i="2"/>
  <c r="W126" i="2"/>
  <c r="W410" i="2"/>
  <c r="W205" i="2"/>
  <c r="W441" i="2"/>
  <c r="W336" i="2"/>
  <c r="W135" i="2"/>
  <c r="L445" i="2"/>
  <c r="X445" i="2" s="1"/>
  <c r="W318" i="2"/>
  <c r="W400" i="2"/>
  <c r="W348" i="2"/>
  <c r="W337" i="2"/>
  <c r="W134" i="2"/>
  <c r="W129" i="2"/>
  <c r="W330" i="2"/>
  <c r="L384" i="2"/>
  <c r="X384" i="2" s="1"/>
  <c r="L72" i="2"/>
  <c r="X72" i="2" s="1"/>
  <c r="W156" i="2"/>
  <c r="AA23" i="8"/>
  <c r="AA21" i="8"/>
  <c r="AA28" i="8"/>
  <c r="AA27" i="8"/>
  <c r="U145" i="2"/>
  <c r="X145" i="2" s="1"/>
  <c r="L406" i="2"/>
  <c r="X406" i="2" s="1"/>
  <c r="L110" i="2"/>
  <c r="L162" i="2"/>
  <c r="W30" i="2"/>
  <c r="W171" i="2"/>
  <c r="W323" i="2"/>
  <c r="W99" i="2"/>
  <c r="W477" i="2"/>
  <c r="W417" i="2"/>
  <c r="U367" i="2"/>
  <c r="X367" i="2" s="1"/>
  <c r="W334" i="2"/>
  <c r="L354" i="2"/>
  <c r="W216" i="2"/>
  <c r="W248" i="2"/>
  <c r="W64" i="2"/>
  <c r="W194" i="2"/>
  <c r="W77" i="2"/>
  <c r="W434" i="2"/>
  <c r="L250" i="2"/>
  <c r="X250" i="2" s="1"/>
  <c r="W350" i="2"/>
  <c r="W175" i="2"/>
  <c r="L79" i="2"/>
  <c r="L349" i="2"/>
  <c r="X349" i="2" s="1"/>
  <c r="W272" i="2"/>
  <c r="W143" i="2"/>
  <c r="W163" i="2"/>
  <c r="W345" i="2"/>
  <c r="W245" i="2"/>
  <c r="W154" i="2"/>
  <c r="W391" i="2"/>
  <c r="L448" i="2"/>
  <c r="X448" i="2" s="1"/>
  <c r="U132" i="2"/>
  <c r="X132" i="2" s="1"/>
  <c r="W313" i="2"/>
  <c r="U382" i="2"/>
  <c r="U307" i="2"/>
  <c r="X307" i="2" s="1"/>
  <c r="U291" i="2"/>
  <c r="X291" i="2" s="1"/>
  <c r="W181" i="2"/>
  <c r="W21" i="2"/>
  <c r="W114" i="2"/>
  <c r="W111" i="2"/>
  <c r="W361" i="2"/>
  <c r="W329" i="2"/>
  <c r="U469" i="2"/>
  <c r="X469" i="2" s="1"/>
  <c r="L78" i="2"/>
  <c r="X78" i="2" s="1"/>
  <c r="W347" i="2"/>
  <c r="W203" i="2"/>
  <c r="W179" i="2"/>
  <c r="W375" i="2"/>
  <c r="W270" i="2"/>
  <c r="W444" i="2"/>
  <c r="U444" i="2"/>
  <c r="X444" i="2" s="1"/>
  <c r="W70" i="2"/>
  <c r="W490" i="2"/>
  <c r="W421" i="2"/>
  <c r="W351" i="2"/>
  <c r="W376" i="2"/>
  <c r="W71" i="2"/>
  <c r="L393" i="2"/>
  <c r="X393" i="2" s="1"/>
  <c r="L503" i="2"/>
  <c r="X503" i="2" s="1"/>
  <c r="W452" i="2"/>
  <c r="W373" i="2"/>
  <c r="W182" i="2"/>
  <c r="W485" i="2"/>
  <c r="W397" i="2"/>
  <c r="W405" i="2"/>
  <c r="L387" i="2"/>
  <c r="X387" i="2" s="1"/>
  <c r="W335" i="2"/>
  <c r="W432" i="2"/>
  <c r="W188" i="2"/>
  <c r="W147" i="2"/>
  <c r="W41" i="2"/>
  <c r="W166" i="2"/>
  <c r="W435" i="2"/>
  <c r="AJ25" i="5"/>
  <c r="AE29" i="7"/>
  <c r="AE23" i="7"/>
  <c r="U22" i="5"/>
  <c r="AI24" i="5"/>
  <c r="AE26" i="7"/>
  <c r="AE25" i="7"/>
  <c r="AE21" i="7"/>
  <c r="AE22" i="7"/>
  <c r="AI30" i="5"/>
  <c r="AJ29" i="5"/>
  <c r="AM29" i="5" s="1"/>
  <c r="L352" i="2"/>
  <c r="X352" i="2" s="1"/>
  <c r="W352" i="2"/>
  <c r="U320" i="2"/>
  <c r="X320" i="2" s="1"/>
  <c r="W320" i="2"/>
  <c r="W300" i="2"/>
  <c r="L300" i="2"/>
  <c r="X300" i="2" s="1"/>
  <c r="L319" i="2"/>
  <c r="X319" i="2" s="1"/>
  <c r="W80" i="2"/>
  <c r="W68" i="2"/>
  <c r="L210" i="2"/>
  <c r="W210" i="2"/>
  <c r="L287" i="2"/>
  <c r="W287" i="2"/>
  <c r="L346" i="2"/>
  <c r="X346" i="2" s="1"/>
  <c r="W346" i="2"/>
  <c r="L341" i="2"/>
  <c r="X341" i="2" s="1"/>
  <c r="W267" i="2"/>
  <c r="W381" i="2"/>
  <c r="W258" i="2"/>
  <c r="W261" i="2"/>
  <c r="L171" i="2"/>
  <c r="W46" i="2"/>
  <c r="W202" i="2"/>
  <c r="L259" i="2"/>
  <c r="X259" i="2" s="1"/>
  <c r="W101" i="2"/>
  <c r="W233" i="2"/>
  <c r="W493" i="2"/>
  <c r="W420" i="2"/>
  <c r="L323" i="2"/>
  <c r="L57" i="2"/>
  <c r="X57" i="2" s="1"/>
  <c r="L105" i="2"/>
  <c r="X105" i="2" s="1"/>
  <c r="W105" i="2"/>
  <c r="W418" i="2"/>
  <c r="W463" i="2"/>
  <c r="W317" i="2"/>
  <c r="U425" i="2"/>
  <c r="X425" i="2" s="1"/>
  <c r="L136" i="2"/>
  <c r="W206" i="2"/>
  <c r="L95" i="2"/>
  <c r="U148" i="2"/>
  <c r="X148" i="2" s="1"/>
  <c r="U429" i="2"/>
  <c r="X429" i="2" s="1"/>
  <c r="W429" i="2"/>
  <c r="L438" i="2"/>
  <c r="X438" i="2" s="1"/>
  <c r="W438" i="2"/>
  <c r="L167" i="2"/>
  <c r="X167" i="2" s="1"/>
  <c r="W167" i="2"/>
  <c r="L139" i="2"/>
  <c r="W139" i="2"/>
  <c r="W237" i="2"/>
  <c r="W428" i="2"/>
  <c r="W468" i="2"/>
  <c r="L375" i="2"/>
  <c r="W157" i="2"/>
  <c r="W282" i="2"/>
  <c r="W123" i="2"/>
  <c r="U123" i="2"/>
  <c r="X123" i="2" s="1"/>
  <c r="L428" i="2"/>
  <c r="W510" i="2"/>
  <c r="L306" i="2"/>
  <c r="L310" i="2"/>
  <c r="X310" i="2" s="1"/>
  <c r="L229" i="2"/>
  <c r="X229" i="2" s="1"/>
  <c r="W229" i="2"/>
  <c r="W499" i="2"/>
  <c r="W253" i="2"/>
  <c r="W292" i="2"/>
  <c r="L246" i="2"/>
  <c r="X246" i="2" s="1"/>
  <c r="W246" i="2"/>
  <c r="W36" i="2"/>
  <c r="W388" i="2"/>
  <c r="L388" i="2"/>
  <c r="X388" i="2" s="1"/>
  <c r="L415" i="2"/>
  <c r="W283" i="2"/>
  <c r="U292" i="2"/>
  <c r="W169" i="2"/>
  <c r="W83" i="2"/>
  <c r="U83" i="2"/>
  <c r="X83" i="2" s="1"/>
  <c r="W314" i="2"/>
  <c r="W22" i="2"/>
  <c r="L22" i="2"/>
  <c r="W453" i="2"/>
  <c r="L398" i="2"/>
  <c r="X398" i="2" s="1"/>
  <c r="L502" i="2"/>
  <c r="X502" i="2" s="1"/>
  <c r="L232" i="2"/>
  <c r="X232" i="2" s="1"/>
  <c r="W219" i="2"/>
  <c r="U64" i="2"/>
  <c r="L102" i="2"/>
  <c r="X102" i="2" s="1"/>
  <c r="W102" i="2"/>
  <c r="L257" i="2"/>
  <c r="X257" i="2" s="1"/>
  <c r="W257" i="2"/>
  <c r="L96" i="2"/>
  <c r="W96" i="2"/>
  <c r="L490" i="2"/>
  <c r="W479" i="2"/>
  <c r="U370" i="2"/>
  <c r="X370" i="2" s="1"/>
  <c r="U348" i="2"/>
  <c r="W197" i="2"/>
  <c r="W304" i="2"/>
  <c r="W178" i="2"/>
  <c r="W150" i="2"/>
  <c r="W289" i="2"/>
  <c r="U289" i="2"/>
  <c r="W385" i="2"/>
  <c r="W207" i="2"/>
  <c r="W413" i="2"/>
  <c r="W488" i="2"/>
  <c r="L390" i="2"/>
  <c r="X390" i="2" s="1"/>
  <c r="W390" i="2"/>
  <c r="W73" i="2"/>
  <c r="AE27" i="7"/>
  <c r="AE28" i="7"/>
  <c r="AE24" i="7"/>
  <c r="V23" i="5"/>
  <c r="AM23" i="5" s="1"/>
  <c r="L401" i="2"/>
  <c r="W401" i="2"/>
  <c r="W456" i="2"/>
  <c r="L456" i="2"/>
  <c r="X456" i="2" s="1"/>
  <c r="W449" i="2"/>
  <c r="L449" i="2"/>
  <c r="W487" i="2"/>
  <c r="L487" i="2"/>
  <c r="L426" i="2"/>
  <c r="W426" i="2"/>
  <c r="W374" i="2"/>
  <c r="L374" i="2"/>
  <c r="X374" i="2" s="1"/>
  <c r="W360" i="2"/>
  <c r="L360" i="2"/>
  <c r="X360" i="2" s="1"/>
  <c r="L255" i="2"/>
  <c r="W255" i="2"/>
  <c r="W309" i="2"/>
  <c r="L309" i="2"/>
  <c r="X309" i="2" s="1"/>
  <c r="W332" i="2"/>
  <c r="L332" i="2"/>
  <c r="X332" i="2" s="1"/>
  <c r="W377" i="2"/>
  <c r="L377" i="2"/>
  <c r="X377" i="2" s="1"/>
  <c r="L311" i="2"/>
  <c r="W311" i="2"/>
  <c r="W260" i="2"/>
  <c r="L260" i="2"/>
  <c r="L43" i="2"/>
  <c r="X43" i="2" s="1"/>
  <c r="W43" i="2"/>
  <c r="W146" i="2"/>
  <c r="L146" i="2"/>
  <c r="X146" i="2" s="1"/>
  <c r="W116" i="2"/>
  <c r="L116" i="2"/>
  <c r="X116" i="2" s="1"/>
  <c r="W180" i="2"/>
  <c r="L180" i="2"/>
  <c r="U497" i="2"/>
  <c r="X497" i="2" s="1"/>
  <c r="W497" i="2"/>
  <c r="W509" i="2"/>
  <c r="L509" i="2"/>
  <c r="W458" i="2"/>
  <c r="L458" i="2"/>
  <c r="W343" i="2"/>
  <c r="L343" i="2"/>
  <c r="X343" i="2" s="1"/>
  <c r="W365" i="2"/>
  <c r="L365" i="2"/>
  <c r="X365" i="2" s="1"/>
  <c r="W266" i="2"/>
  <c r="L266" i="2"/>
  <c r="X266" i="2" s="1"/>
  <c r="W371" i="2"/>
  <c r="L371" i="2"/>
  <c r="L192" i="2"/>
  <c r="W192" i="2"/>
  <c r="L280" i="2"/>
  <c r="W280" i="2"/>
  <c r="W90" i="2"/>
  <c r="L90" i="2"/>
  <c r="X90" i="2" s="1"/>
  <c r="W112" i="2"/>
  <c r="L112" i="2"/>
  <c r="X112" i="2" s="1"/>
  <c r="W29" i="2"/>
  <c r="L29" i="2"/>
  <c r="X29" i="2" s="1"/>
  <c r="W56" i="2"/>
  <c r="L56" i="2"/>
  <c r="W38" i="2"/>
  <c r="L38" i="2"/>
  <c r="X38" i="2" s="1"/>
  <c r="W94" i="2"/>
  <c r="L94" i="2"/>
  <c r="X94" i="2" s="1"/>
  <c r="W119" i="2"/>
  <c r="L119" i="2"/>
  <c r="X119" i="2" s="1"/>
  <c r="W82" i="2"/>
  <c r="U475" i="2"/>
  <c r="X475" i="2" s="1"/>
  <c r="W475" i="2"/>
  <c r="L392" i="2"/>
  <c r="W392" i="2"/>
  <c r="W436" i="2"/>
  <c r="L436" i="2"/>
  <c r="W433" i="2"/>
  <c r="L433" i="2"/>
  <c r="W481" i="2"/>
  <c r="L481" i="2"/>
  <c r="W486" i="2"/>
  <c r="L486" i="2"/>
  <c r="W511" i="2"/>
  <c r="L511" i="2"/>
  <c r="W443" i="2"/>
  <c r="L443" i="2"/>
  <c r="W383" i="2"/>
  <c r="L383" i="2"/>
  <c r="L357" i="2"/>
  <c r="X357" i="2" s="1"/>
  <c r="W357" i="2"/>
  <c r="L380" i="2"/>
  <c r="W380" i="2"/>
  <c r="W325" i="2"/>
  <c r="L325" i="2"/>
  <c r="X325" i="2" s="1"/>
  <c r="W324" i="2"/>
  <c r="L324" i="2"/>
  <c r="X324" i="2" s="1"/>
  <c r="W130" i="2"/>
  <c r="L130" i="2"/>
  <c r="X130" i="2" s="1"/>
  <c r="W183" i="2"/>
  <c r="L274" i="2"/>
  <c r="W274" i="2"/>
  <c r="W193" i="2"/>
  <c r="L193" i="2"/>
  <c r="X193" i="2" s="1"/>
  <c r="W54" i="2"/>
  <c r="L54" i="2"/>
  <c r="X54" i="2" s="1"/>
  <c r="W172" i="2"/>
  <c r="L172" i="2"/>
  <c r="L40" i="2"/>
  <c r="W40" i="2"/>
  <c r="L31" i="2"/>
  <c r="W31" i="2"/>
  <c r="L28" i="2"/>
  <c r="W28" i="2"/>
  <c r="W113" i="2"/>
  <c r="L113" i="2"/>
  <c r="X113" i="2" s="1"/>
  <c r="W85" i="2"/>
  <c r="L85" i="2"/>
  <c r="X85" i="2" s="1"/>
  <c r="W153" i="2"/>
  <c r="L153" i="2"/>
  <c r="W462" i="2"/>
  <c r="L462" i="2"/>
  <c r="W168" i="2"/>
  <c r="L168" i="2"/>
  <c r="X168" i="2" s="1"/>
  <c r="W269" i="2"/>
  <c r="L269" i="2"/>
  <c r="W483" i="2"/>
  <c r="L483" i="2"/>
  <c r="L344" i="2"/>
  <c r="X344" i="2" s="1"/>
  <c r="W344" i="2"/>
  <c r="W302" i="2"/>
  <c r="L302" i="2"/>
  <c r="X302" i="2" s="1"/>
  <c r="L249" i="2"/>
  <c r="W249" i="2"/>
  <c r="L251" i="2"/>
  <c r="X251" i="2" s="1"/>
  <c r="W251" i="2"/>
  <c r="W297" i="2"/>
  <c r="L297" i="2"/>
  <c r="X297" i="2" s="1"/>
  <c r="W288" i="2"/>
  <c r="L288" i="2"/>
  <c r="X288" i="2" s="1"/>
  <c r="L240" i="2"/>
  <c r="W240" i="2"/>
  <c r="L173" i="2"/>
  <c r="W173" i="2"/>
  <c r="W256" i="2"/>
  <c r="L256" i="2"/>
  <c r="X256" i="2" s="1"/>
  <c r="L170" i="2"/>
  <c r="W170" i="2"/>
  <c r="W218" i="2"/>
  <c r="L218" i="2"/>
  <c r="X218" i="2" s="1"/>
  <c r="W109" i="2"/>
  <c r="L109" i="2"/>
  <c r="W100" i="2"/>
  <c r="L100" i="2"/>
  <c r="W106" i="2"/>
  <c r="L106" i="2"/>
  <c r="L498" i="2"/>
  <c r="X498" i="2" s="1"/>
  <c r="W498" i="2"/>
  <c r="W427" i="2"/>
  <c r="L427" i="2"/>
  <c r="X427" i="2" s="1"/>
  <c r="W424" i="2"/>
  <c r="L424" i="2"/>
  <c r="X424" i="2" s="1"/>
  <c r="W459" i="2"/>
  <c r="L459" i="2"/>
  <c r="X459" i="2" s="1"/>
  <c r="W480" i="2"/>
  <c r="L480" i="2"/>
  <c r="W505" i="2"/>
  <c r="L505" i="2"/>
  <c r="W340" i="2"/>
  <c r="L340" i="2"/>
  <c r="X340" i="2" s="1"/>
  <c r="W372" i="2"/>
  <c r="L372" i="2"/>
  <c r="X372" i="2" s="1"/>
  <c r="W234" i="2"/>
  <c r="L234" i="2"/>
  <c r="X234" i="2" s="1"/>
  <c r="W299" i="2"/>
  <c r="L299" i="2"/>
  <c r="L358" i="2"/>
  <c r="W358" i="2"/>
  <c r="L220" i="2"/>
  <c r="W220" i="2"/>
  <c r="W284" i="2"/>
  <c r="L284" i="2"/>
  <c r="X284" i="2" s="1"/>
  <c r="W263" i="2"/>
  <c r="W209" i="2"/>
  <c r="L209" i="2"/>
  <c r="X209" i="2" s="1"/>
  <c r="L37" i="2"/>
  <c r="W37" i="2"/>
  <c r="W430" i="2"/>
  <c r="L430" i="2"/>
  <c r="X430" i="2" s="1"/>
  <c r="W508" i="2"/>
  <c r="L508" i="2"/>
  <c r="W396" i="2"/>
  <c r="L396" i="2"/>
  <c r="X396" i="2" s="1"/>
  <c r="W446" i="2"/>
  <c r="L446" i="2"/>
  <c r="X446" i="2" s="1"/>
  <c r="W403" i="2"/>
  <c r="L268" i="2"/>
  <c r="X268" i="2" s="1"/>
  <c r="W268" i="2"/>
  <c r="W285" i="2"/>
  <c r="L285" i="2"/>
  <c r="X285" i="2" s="1"/>
  <c r="W137" i="2"/>
  <c r="L137" i="2"/>
  <c r="X137" i="2" s="1"/>
  <c r="L252" i="2"/>
  <c r="W252" i="2"/>
  <c r="L198" i="2"/>
  <c r="W198" i="2"/>
  <c r="W122" i="2"/>
  <c r="L122" i="2"/>
  <c r="W47" i="2"/>
  <c r="L47" i="2"/>
  <c r="W63" i="2"/>
  <c r="L63" i="2"/>
  <c r="X63" i="2" s="1"/>
  <c r="W140" i="2"/>
  <c r="L140" i="2"/>
  <c r="X140" i="2" s="1"/>
  <c r="L308" i="2"/>
  <c r="W308" i="2"/>
  <c r="L290" i="2"/>
  <c r="X290" i="2" s="1"/>
  <c r="W290" i="2"/>
  <c r="W215" i="2"/>
  <c r="L215" i="2"/>
  <c r="X215" i="2" s="1"/>
  <c r="L217" i="2"/>
  <c r="W217" i="2"/>
  <c r="W222" i="2"/>
  <c r="L164" i="2"/>
  <c r="X164" i="2" s="1"/>
  <c r="W164" i="2"/>
  <c r="W241" i="2"/>
  <c r="L241" i="2"/>
  <c r="W35" i="2"/>
  <c r="L35" i="2"/>
  <c r="X35" i="2" s="1"/>
  <c r="W44" i="2"/>
  <c r="L44" i="2"/>
  <c r="W76" i="2"/>
  <c r="L76" i="2"/>
  <c r="X76" i="2" s="1"/>
  <c r="W189" i="2"/>
  <c r="L189" i="2"/>
  <c r="X189" i="2" s="1"/>
  <c r="W461" i="2"/>
  <c r="L461" i="2"/>
  <c r="W411" i="2"/>
  <c r="L411" i="2"/>
  <c r="W402" i="2"/>
  <c r="L402" i="2"/>
  <c r="X402" i="2" s="1"/>
  <c r="L333" i="2"/>
  <c r="W333" i="2"/>
  <c r="W408" i="2"/>
  <c r="L408" i="2"/>
  <c r="W378" i="2"/>
  <c r="L378" i="2"/>
  <c r="X378" i="2" s="1"/>
  <c r="W262" i="2"/>
  <c r="L262" i="2"/>
  <c r="X262" i="2" s="1"/>
  <c r="L277" i="2"/>
  <c r="W277" i="2"/>
  <c r="L141" i="2"/>
  <c r="X141" i="2" s="1"/>
  <c r="W141" i="2"/>
  <c r="W128" i="2"/>
  <c r="L128" i="2"/>
  <c r="X128" i="2" s="1"/>
  <c r="W221" i="2"/>
  <c r="L221" i="2"/>
  <c r="X221" i="2" s="1"/>
  <c r="L265" i="2"/>
  <c r="X265" i="2" s="1"/>
  <c r="W265" i="2"/>
  <c r="W159" i="2"/>
  <c r="L159" i="2"/>
  <c r="X159" i="2" s="1"/>
  <c r="W174" i="2"/>
  <c r="L174" i="2"/>
  <c r="W62" i="2"/>
  <c r="L62" i="2"/>
  <c r="W103" i="2"/>
  <c r="L103" i="2"/>
  <c r="W69" i="2"/>
  <c r="L69" i="2"/>
  <c r="W97" i="2"/>
  <c r="L97" i="2"/>
  <c r="W66" i="2"/>
  <c r="L451" i="2"/>
  <c r="X451" i="2" s="1"/>
  <c r="W451" i="2"/>
  <c r="W506" i="2"/>
  <c r="L506" i="2"/>
  <c r="W409" i="2"/>
  <c r="L409" i="2"/>
  <c r="W230" i="2"/>
  <c r="L230" i="2"/>
  <c r="W59" i="2"/>
  <c r="L59" i="2"/>
  <c r="W45" i="2"/>
  <c r="L45" i="2"/>
  <c r="X45" i="2" s="1"/>
  <c r="W53" i="2"/>
  <c r="L53" i="2"/>
  <c r="L473" i="2"/>
  <c r="X473" i="2" s="1"/>
  <c r="W473" i="2"/>
  <c r="W414" i="2"/>
  <c r="L414" i="2"/>
  <c r="W389" i="2"/>
  <c r="L389" i="2"/>
  <c r="X389" i="2" s="1"/>
  <c r="W353" i="2"/>
  <c r="L353" i="2"/>
  <c r="X353" i="2" s="1"/>
  <c r="W386" i="2"/>
  <c r="L386" i="2"/>
  <c r="W247" i="2"/>
  <c r="L247" i="2"/>
  <c r="X247" i="2" s="1"/>
  <c r="W279" i="2"/>
  <c r="L279" i="2"/>
  <c r="X279" i="2" s="1"/>
  <c r="W118" i="2"/>
  <c r="L118" i="2"/>
  <c r="X118" i="2" s="1"/>
  <c r="W214" i="2"/>
  <c r="L214" i="2"/>
  <c r="X214" i="2" s="1"/>
  <c r="W224" i="2"/>
  <c r="L224" i="2"/>
  <c r="X224" i="2" s="1"/>
  <c r="W155" i="2"/>
  <c r="L155" i="2"/>
  <c r="X155" i="2" s="1"/>
  <c r="W144" i="2"/>
  <c r="L144" i="2"/>
  <c r="X144" i="2" s="1"/>
  <c r="L223" i="2"/>
  <c r="W223" i="2"/>
  <c r="W42" i="2"/>
  <c r="L65" i="2"/>
  <c r="X65" i="2" s="1"/>
  <c r="W65" i="2"/>
  <c r="W484" i="2"/>
  <c r="L484" i="2"/>
  <c r="W512" i="2"/>
  <c r="L512" i="2"/>
  <c r="W464" i="2"/>
  <c r="L464" i="2"/>
  <c r="L355" i="2"/>
  <c r="X355" i="2" s="1"/>
  <c r="W355" i="2"/>
  <c r="W440" i="2"/>
  <c r="L440" i="2"/>
  <c r="X440" i="2" s="1"/>
  <c r="W369" i="2"/>
  <c r="L369" i="2"/>
  <c r="X369" i="2" s="1"/>
  <c r="L243" i="2"/>
  <c r="X243" i="2" s="1"/>
  <c r="W243" i="2"/>
  <c r="W275" i="2"/>
  <c r="L275" i="2"/>
  <c r="X275" i="2" s="1"/>
  <c r="W273" i="2"/>
  <c r="L273" i="2"/>
  <c r="X273" i="2" s="1"/>
  <c r="W190" i="2"/>
  <c r="L190" i="2"/>
  <c r="X190" i="2" s="1"/>
  <c r="W199" i="2"/>
  <c r="L199" i="2"/>
  <c r="X199" i="2" s="1"/>
  <c r="L121" i="2"/>
  <c r="X121" i="2" s="1"/>
  <c r="W121" i="2"/>
  <c r="L142" i="2"/>
  <c r="W142" i="2"/>
  <c r="W67" i="2"/>
  <c r="W25" i="2"/>
  <c r="W91" i="2"/>
  <c r="L91" i="2"/>
  <c r="X91" i="2" s="1"/>
  <c r="L195" i="2"/>
  <c r="W195" i="2"/>
  <c r="W60" i="2"/>
  <c r="L60" i="2"/>
  <c r="X60" i="2" s="1"/>
  <c r="W439" i="2"/>
  <c r="L439" i="2"/>
  <c r="W327" i="2"/>
  <c r="L327" i="2"/>
  <c r="X327" i="2" s="1"/>
  <c r="L328" i="2"/>
  <c r="X328" i="2" s="1"/>
  <c r="W328" i="2"/>
  <c r="L271" i="2"/>
  <c r="X271" i="2" s="1"/>
  <c r="W271" i="2"/>
  <c r="L176" i="2"/>
  <c r="W176" i="2"/>
  <c r="W212" i="2"/>
  <c r="L212" i="2"/>
  <c r="X212" i="2" s="1"/>
  <c r="L93" i="2"/>
  <c r="X93" i="2" s="1"/>
  <c r="W93" i="2"/>
  <c r="W177" i="2"/>
  <c r="W127" i="2"/>
  <c r="L127" i="2"/>
  <c r="L34" i="2"/>
  <c r="W34" i="2"/>
  <c r="W50" i="2"/>
  <c r="L50" i="2"/>
  <c r="W26" i="2"/>
  <c r="L26" i="2"/>
  <c r="X26" i="2" s="1"/>
  <c r="W88" i="2"/>
  <c r="L88" i="2"/>
  <c r="X88" i="2" s="1"/>
  <c r="AI23" i="5"/>
  <c r="I7" i="6"/>
  <c r="J7" i="6" s="1"/>
  <c r="AJ22" i="5" l="1"/>
  <c r="AJ21" i="5" s="1"/>
  <c r="F6" i="5" s="1"/>
  <c r="AK29" i="5"/>
  <c r="AL31" i="5"/>
  <c r="AI22" i="5"/>
  <c r="AL22" i="5" s="1"/>
  <c r="AL28" i="5"/>
  <c r="AI27" i="5"/>
  <c r="AL27" i="5" s="1"/>
  <c r="AM28" i="5"/>
  <c r="AM31" i="5"/>
  <c r="AK27" i="5"/>
  <c r="AL26" i="5"/>
  <c r="AM26" i="5"/>
  <c r="AE20" i="7"/>
  <c r="AE19" i="7" s="1"/>
  <c r="G5" i="7" s="1"/>
  <c r="AB19" i="7"/>
  <c r="F5" i="7" s="1"/>
  <c r="AD20" i="7"/>
  <c r="AD19" i="7" s="1"/>
  <c r="F7" i="7" s="1"/>
  <c r="AK28" i="4"/>
  <c r="AK41" i="4"/>
  <c r="AJ29" i="4"/>
  <c r="AJ41" i="4"/>
  <c r="AJ39" i="4"/>
  <c r="AN61" i="4"/>
  <c r="AJ37" i="4"/>
  <c r="AJ31" i="4"/>
  <c r="AK27" i="4"/>
  <c r="AL45" i="5"/>
  <c r="AA18" i="6"/>
  <c r="AF22" i="7"/>
  <c r="N19" i="8"/>
  <c r="E6" i="8" s="1"/>
  <c r="X531" i="2"/>
  <c r="AB26" i="8"/>
  <c r="AF49" i="7"/>
  <c r="AK39" i="4"/>
  <c r="AK31" i="4"/>
  <c r="AQ47" i="17"/>
  <c r="AJ40" i="4"/>
  <c r="AH38" i="4"/>
  <c r="AQ49" i="17"/>
  <c r="AJ38" i="4" s="1"/>
  <c r="AH36" i="4"/>
  <c r="AK35" i="4"/>
  <c r="AR72" i="17"/>
  <c r="AK38" i="4" s="1"/>
  <c r="AI38" i="4"/>
  <c r="J20" i="1"/>
  <c r="AC27" i="8"/>
  <c r="Z19" i="8"/>
  <c r="F7" i="8" s="1"/>
  <c r="AI34" i="4"/>
  <c r="AR68" i="17"/>
  <c r="AK33" i="4"/>
  <c r="AK40" i="4"/>
  <c r="AR45" i="17"/>
  <c r="AQ45" i="17"/>
  <c r="AJ34" i="4" s="1"/>
  <c r="AI36" i="4"/>
  <c r="AQ70" i="17"/>
  <c r="AR70" i="17"/>
  <c r="AK36" i="4" s="1"/>
  <c r="AI32" i="4"/>
  <c r="AQ66" i="17"/>
  <c r="AR66" i="17"/>
  <c r="AR43" i="17"/>
  <c r="AH32" i="4"/>
  <c r="AQ43" i="17"/>
  <c r="AJ30" i="4"/>
  <c r="AJ35" i="4"/>
  <c r="AK30" i="4"/>
  <c r="AJ33" i="4"/>
  <c r="P19" i="7"/>
  <c r="E6" i="7" s="1"/>
  <c r="AF20" i="7"/>
  <c r="AC19" i="7"/>
  <c r="F6" i="7" s="1"/>
  <c r="Q19" i="7"/>
  <c r="E7" i="7" s="1"/>
  <c r="AC23" i="8"/>
  <c r="Y19" i="8"/>
  <c r="F6" i="8" s="1"/>
  <c r="O19" i="8"/>
  <c r="E7" i="8" s="1"/>
  <c r="AB20" i="8"/>
  <c r="AC21" i="8"/>
  <c r="AB24" i="8"/>
  <c r="AA19" i="8"/>
  <c r="G5" i="8" s="1"/>
  <c r="AF21" i="7"/>
  <c r="AF23" i="7"/>
  <c r="AF25" i="7"/>
  <c r="AF27" i="7"/>
  <c r="AG27" i="7"/>
  <c r="AI21" i="5"/>
  <c r="F5" i="5" s="1"/>
  <c r="X311" i="2"/>
  <c r="AM25" i="5"/>
  <c r="AL23" i="5"/>
  <c r="AL30" i="5"/>
  <c r="X98" i="2"/>
  <c r="X289" i="2"/>
  <c r="X269" i="2"/>
  <c r="X358" i="2"/>
  <c r="X439" i="2"/>
  <c r="X162" i="2"/>
  <c r="X376" i="2"/>
  <c r="L19" i="2"/>
  <c r="E6" i="2" s="1"/>
  <c r="M19" i="2"/>
  <c r="X317" i="2"/>
  <c r="X182" i="2"/>
  <c r="X304" i="2"/>
  <c r="X292" i="2"/>
  <c r="U19" i="2"/>
  <c r="F6" i="2" s="1"/>
  <c r="W19" i="2"/>
  <c r="G5" i="2" s="1"/>
  <c r="X142" i="2"/>
  <c r="X37" i="2"/>
  <c r="X267" i="2"/>
  <c r="X350" i="2"/>
  <c r="V19" i="2"/>
  <c r="F7" i="2" s="1"/>
  <c r="X481" i="2"/>
  <c r="AB27" i="8"/>
  <c r="AF29" i="7"/>
  <c r="AF24" i="7"/>
  <c r="AG29" i="7"/>
  <c r="AG24" i="7"/>
  <c r="AG28" i="7"/>
  <c r="AG26" i="7"/>
  <c r="AF26" i="7"/>
  <c r="AF28" i="7"/>
  <c r="AG21" i="7"/>
  <c r="AG20" i="7"/>
  <c r="X71" i="2"/>
  <c r="X490" i="2"/>
  <c r="X415" i="2"/>
  <c r="X53" i="2"/>
  <c r="X461" i="2"/>
  <c r="I6" i="6"/>
  <c r="J6" i="6" s="1"/>
  <c r="X375" i="2"/>
  <c r="X237" i="2"/>
  <c r="X134" i="2"/>
  <c r="Y317" i="2"/>
  <c r="Y200" i="2"/>
  <c r="X392" i="2"/>
  <c r="X253" i="2"/>
  <c r="X200" i="2"/>
  <c r="X202" i="2"/>
  <c r="X383" i="2"/>
  <c r="X409" i="2"/>
  <c r="X195" i="2"/>
  <c r="X505" i="2"/>
  <c r="X64" i="2"/>
  <c r="X252" i="2"/>
  <c r="X220" i="2"/>
  <c r="Y304" i="2"/>
  <c r="X51" i="2"/>
  <c r="Y134" i="2"/>
  <c r="X28" i="2"/>
  <c r="X274" i="2"/>
  <c r="X192" i="2"/>
  <c r="X176" i="2"/>
  <c r="X40" i="2"/>
  <c r="X511" i="2"/>
  <c r="X180" i="2"/>
  <c r="X110" i="2"/>
  <c r="X464" i="2"/>
  <c r="X411" i="2"/>
  <c r="X153" i="2"/>
  <c r="X172" i="2"/>
  <c r="X452" i="2"/>
  <c r="X513" i="2"/>
  <c r="Y376" i="2"/>
  <c r="X34" i="2"/>
  <c r="X240" i="2"/>
  <c r="X515" i="2"/>
  <c r="Y417" i="2"/>
  <c r="X478" i="2"/>
  <c r="Y98" i="2"/>
  <c r="X173" i="2"/>
  <c r="Y513" i="2"/>
  <c r="X417" i="2"/>
  <c r="X59" i="2"/>
  <c r="X97" i="2"/>
  <c r="X109" i="2"/>
  <c r="X380" i="2"/>
  <c r="Y68" i="2"/>
  <c r="X23" i="2"/>
  <c r="X386" i="2"/>
  <c r="X468" i="2"/>
  <c r="X449" i="2"/>
  <c r="X68" i="2"/>
  <c r="Y452" i="2"/>
  <c r="X230" i="2"/>
  <c r="X69" i="2"/>
  <c r="X408" i="2"/>
  <c r="X47" i="2"/>
  <c r="X280" i="2"/>
  <c r="X382" i="2"/>
  <c r="X236" i="2"/>
  <c r="X217" i="2"/>
  <c r="X509" i="2"/>
  <c r="X206" i="2"/>
  <c r="Y501" i="2"/>
  <c r="X210" i="2"/>
  <c r="Y391" i="2"/>
  <c r="Y495" i="2"/>
  <c r="X127" i="2"/>
  <c r="X308" i="2"/>
  <c r="X487" i="2"/>
  <c r="X414" i="2"/>
  <c r="X103" i="2"/>
  <c r="X171" i="2"/>
  <c r="X50" i="2"/>
  <c r="X333" i="2"/>
  <c r="X443" i="2"/>
  <c r="X56" i="2"/>
  <c r="X260" i="2"/>
  <c r="X296" i="2"/>
  <c r="X501" i="2"/>
  <c r="Y182" i="2"/>
  <c r="X506" i="2"/>
  <c r="X462" i="2"/>
  <c r="X348" i="2"/>
  <c r="X323" i="2"/>
  <c r="Y71" i="2"/>
  <c r="X413" i="2"/>
  <c r="X391" i="2"/>
  <c r="X495" i="2"/>
  <c r="Y478" i="2"/>
  <c r="AL24" i="5"/>
  <c r="Y23" i="2"/>
  <c r="X249" i="2"/>
  <c r="X401" i="2"/>
  <c r="Y267" i="2"/>
  <c r="X44" i="2"/>
  <c r="X136" i="2"/>
  <c r="Y202" i="2"/>
  <c r="Y350" i="2"/>
  <c r="X277" i="2"/>
  <c r="X508" i="2"/>
  <c r="X486" i="2"/>
  <c r="Y468" i="2"/>
  <c r="Y237" i="2"/>
  <c r="X512" i="2"/>
  <c r="X480" i="2"/>
  <c r="X100" i="2"/>
  <c r="X306" i="2"/>
  <c r="X139" i="2"/>
  <c r="Y206" i="2"/>
  <c r="Y253" i="2"/>
  <c r="Y236" i="2"/>
  <c r="Y413" i="2"/>
  <c r="X31" i="2"/>
  <c r="X198" i="2"/>
  <c r="X241" i="2"/>
  <c r="X426" i="2"/>
  <c r="X122" i="2"/>
  <c r="X436" i="2"/>
  <c r="X170" i="2"/>
  <c r="X371" i="2"/>
  <c r="X255" i="2"/>
  <c r="X223" i="2"/>
  <c r="X62" i="2"/>
  <c r="X95" i="2"/>
  <c r="X174" i="2"/>
  <c r="X106" i="2"/>
  <c r="X96" i="2"/>
  <c r="X22" i="2"/>
  <c r="X484" i="2"/>
  <c r="X299" i="2"/>
  <c r="X483" i="2"/>
  <c r="X428" i="2"/>
  <c r="X287" i="2"/>
  <c r="X79" i="2"/>
  <c r="X433" i="2"/>
  <c r="X458" i="2"/>
  <c r="X354" i="2"/>
  <c r="F5" i="2"/>
  <c r="V44" i="17"/>
  <c r="AL43" i="17"/>
  <c r="AL49" i="17"/>
  <c r="V43" i="17"/>
  <c r="V46" i="17"/>
  <c r="V67" i="17"/>
  <c r="V48" i="17"/>
  <c r="AL70" i="17"/>
  <c r="V65" i="17"/>
  <c r="V66" i="17"/>
  <c r="V63" i="17"/>
  <c r="AL41" i="17"/>
  <c r="V72" i="17"/>
  <c r="AL42" i="17"/>
  <c r="AL63" i="17"/>
  <c r="V49" i="17"/>
  <c r="AL73" i="17"/>
  <c r="AL74" i="17"/>
  <c r="AL65" i="17"/>
  <c r="AL72" i="17"/>
  <c r="V73" i="17"/>
  <c r="V38" i="17"/>
  <c r="V52" i="17"/>
  <c r="AL66" i="17"/>
  <c r="V69" i="17"/>
  <c r="AL40" i="17"/>
  <c r="AL52" i="17"/>
  <c r="AL75" i="17"/>
  <c r="V42" i="17"/>
  <c r="AL50" i="17"/>
  <c r="AL61" i="17"/>
  <c r="V71" i="17"/>
  <c r="V61" i="17"/>
  <c r="V50" i="17"/>
  <c r="AL48" i="17"/>
  <c r="AL38" i="17"/>
  <c r="AL69" i="17"/>
  <c r="AL71" i="17"/>
  <c r="V40" i="17"/>
  <c r="AL67" i="17"/>
  <c r="V64" i="17"/>
  <c r="AL64" i="17"/>
  <c r="V51" i="17"/>
  <c r="V41" i="17"/>
  <c r="V75" i="17"/>
  <c r="AL68" i="17"/>
  <c r="AL46" i="17"/>
  <c r="AL39" i="17"/>
  <c r="V68" i="17"/>
  <c r="V39" i="17"/>
  <c r="V45" i="17"/>
  <c r="V70" i="17"/>
  <c r="V74" i="17"/>
  <c r="V47" i="17"/>
  <c r="AL51" i="17"/>
  <c r="AL47" i="17"/>
  <c r="V62" i="17"/>
  <c r="AL45" i="17"/>
  <c r="AL62" i="17"/>
  <c r="AL44" i="17"/>
  <c r="I20" i="1"/>
  <c r="U21" i="5"/>
  <c r="E5" i="5" s="1"/>
  <c r="V21" i="5"/>
  <c r="E6" i="5" s="1"/>
  <c r="E5" i="2"/>
  <c r="F20" i="1"/>
  <c r="AM22" i="5" l="1"/>
  <c r="AM21" i="5" s="1"/>
  <c r="G6" i="5" s="1"/>
  <c r="AC19" i="8"/>
  <c r="G7" i="8" s="1"/>
  <c r="AJ36" i="4"/>
  <c r="AK32" i="4"/>
  <c r="AK34" i="4"/>
  <c r="AJ32" i="4"/>
  <c r="AG19" i="7"/>
  <c r="G7" i="7" s="1"/>
  <c r="AF19" i="7"/>
  <c r="G6" i="7" s="1"/>
  <c r="AB19" i="8"/>
  <c r="G6" i="8" s="1"/>
  <c r="AL63" i="4"/>
  <c r="Y19" i="2"/>
  <c r="G7" i="2" s="1"/>
  <c r="X19" i="2"/>
  <c r="G6" i="2" s="1"/>
  <c r="AL21" i="5"/>
  <c r="G5" i="5" s="1"/>
  <c r="E50" i="17"/>
  <c r="F50" i="17"/>
  <c r="E49" i="17"/>
  <c r="F49" i="17"/>
  <c r="E47" i="17"/>
  <c r="F47" i="17"/>
  <c r="F70" i="17"/>
  <c r="E70" i="17"/>
  <c r="E48" i="17"/>
  <c r="F48" i="17"/>
  <c r="E45" i="17"/>
  <c r="F45" i="17"/>
  <c r="F65" i="17"/>
  <c r="E65" i="17"/>
  <c r="E69" i="17"/>
  <c r="F69" i="17"/>
  <c r="E67" i="17"/>
  <c r="F67" i="17"/>
  <c r="E39" i="17"/>
  <c r="F39" i="17"/>
  <c r="E64" i="17"/>
  <c r="F64" i="17"/>
  <c r="E46" i="17"/>
  <c r="F46" i="17"/>
  <c r="E41" i="17"/>
  <c r="F41" i="17"/>
  <c r="E68" i="17"/>
  <c r="F68" i="17"/>
  <c r="E38" i="17"/>
  <c r="F38" i="17"/>
  <c r="E43" i="17"/>
  <c r="F43" i="17"/>
  <c r="E51" i="17"/>
  <c r="F51" i="17"/>
  <c r="F52" i="17"/>
  <c r="E52" i="17"/>
  <c r="F62" i="17"/>
  <c r="E62" i="17"/>
  <c r="E40" i="17"/>
  <c r="F40" i="17"/>
  <c r="E72" i="17"/>
  <c r="F72" i="17"/>
  <c r="E61" i="17"/>
  <c r="F61" i="17"/>
  <c r="E42" i="17"/>
  <c r="F42" i="17"/>
  <c r="E73" i="17"/>
  <c r="F73" i="17"/>
  <c r="F74" i="17"/>
  <c r="E74" i="17"/>
  <c r="E63" i="17"/>
  <c r="F63" i="17"/>
  <c r="F71" i="17"/>
  <c r="E71" i="17"/>
  <c r="E75" i="17"/>
  <c r="F75" i="17"/>
  <c r="E66" i="17"/>
  <c r="F66" i="17"/>
  <c r="F44" i="17"/>
  <c r="E44" i="17"/>
  <c r="S30" i="4"/>
  <c r="S32" i="4"/>
  <c r="T37" i="4"/>
  <c r="AM37" i="4" s="1"/>
  <c r="T40" i="4"/>
  <c r="AM40" i="4" s="1"/>
  <c r="T28" i="4"/>
  <c r="AM28" i="4" s="1"/>
  <c r="T29" i="4"/>
  <c r="AM29" i="4" s="1"/>
  <c r="T36" i="4"/>
  <c r="AM36" i="4" s="1"/>
  <c r="T30" i="4"/>
  <c r="AM30" i="4" s="1"/>
  <c r="S41" i="4"/>
  <c r="S27" i="4"/>
  <c r="S29" i="4"/>
  <c r="T32" i="4"/>
  <c r="AM32" i="4" s="1"/>
  <c r="S33" i="4"/>
  <c r="T38" i="4"/>
  <c r="AM38" i="4" s="1"/>
  <c r="S31" i="4"/>
  <c r="T39" i="4"/>
  <c r="AM39" i="4" s="1"/>
  <c r="T41" i="4"/>
  <c r="AM41" i="4" s="1"/>
  <c r="S36" i="4"/>
  <c r="T31" i="4"/>
  <c r="AM31" i="4" s="1"/>
  <c r="S39" i="4"/>
  <c r="S38" i="4"/>
  <c r="S40" i="4"/>
  <c r="S37" i="4"/>
  <c r="S34" i="4"/>
  <c r="T27" i="4"/>
  <c r="AM27" i="4" s="1"/>
  <c r="T35" i="4"/>
  <c r="AM35" i="4" s="1"/>
  <c r="T33" i="4"/>
  <c r="AM33" i="4" s="1"/>
  <c r="S28" i="4"/>
  <c r="S35" i="4"/>
  <c r="T34" i="4"/>
  <c r="AM34" i="4" s="1"/>
  <c r="U41" i="4" l="1"/>
  <c r="AN41" i="4" s="1"/>
  <c r="U40" i="4"/>
  <c r="V36" i="4"/>
  <c r="AO36" i="4" s="1"/>
  <c r="V35" i="4"/>
  <c r="AO35" i="4" s="1"/>
  <c r="V37" i="4"/>
  <c r="AO37" i="4" s="1"/>
  <c r="V31" i="4"/>
  <c r="AO31" i="4" s="1"/>
  <c r="U31" i="4"/>
  <c r="U39" i="4"/>
  <c r="U32" i="4"/>
  <c r="AN32" i="4" s="1"/>
  <c r="U35" i="4"/>
  <c r="V33" i="4"/>
  <c r="AO33" i="4" s="1"/>
  <c r="U37" i="4"/>
  <c r="V32" i="4"/>
  <c r="AO32" i="4" s="1"/>
  <c r="V34" i="4"/>
  <c r="AO34" i="4" s="1"/>
  <c r="V40" i="4"/>
  <c r="AO40" i="4" s="1"/>
  <c r="U34" i="4"/>
  <c r="V27" i="4"/>
  <c r="AO27" i="4" s="1"/>
  <c r="U33" i="4"/>
  <c r="U27" i="4"/>
  <c r="V39" i="4"/>
  <c r="AO39" i="4" s="1"/>
  <c r="V28" i="4"/>
  <c r="AO28" i="4" s="1"/>
  <c r="V41" i="4"/>
  <c r="AO41" i="4" s="1"/>
  <c r="U28" i="4"/>
  <c r="U36" i="4"/>
  <c r="U29" i="4"/>
  <c r="AN29" i="4" s="1"/>
  <c r="V30" i="4"/>
  <c r="AO30" i="4" s="1"/>
  <c r="V38" i="4"/>
  <c r="AO38" i="4" s="1"/>
  <c r="V29" i="4"/>
  <c r="AO29" i="4" s="1"/>
  <c r="U30" i="4"/>
  <c r="AN30" i="4" s="1"/>
  <c r="U38" i="4"/>
  <c r="AL30" i="4"/>
  <c r="AL29" i="4"/>
  <c r="AL32" i="4"/>
  <c r="AL27" i="4"/>
  <c r="AL41" i="4"/>
  <c r="AL33" i="4"/>
  <c r="AL39" i="4"/>
  <c r="AL34" i="4"/>
  <c r="AL31" i="4"/>
  <c r="AL37" i="4"/>
  <c r="AL40" i="4"/>
  <c r="AL28" i="4"/>
  <c r="AL36" i="4"/>
  <c r="AL35" i="4"/>
  <c r="AL38" i="4"/>
  <c r="AN33" i="4" l="1"/>
  <c r="AN31" i="4"/>
  <c r="AN28" i="4"/>
  <c r="AN40" i="4"/>
  <c r="AN34" i="4"/>
  <c r="AN37" i="4"/>
  <c r="AN27" i="4"/>
  <c r="AN39" i="4"/>
  <c r="AN35" i="4"/>
  <c r="AN38" i="4"/>
  <c r="AN36" i="4"/>
  <c r="AK81" i="17" l="1"/>
  <c r="AH81" i="17" l="1"/>
  <c r="BU81" i="17" s="1"/>
  <c r="AK95" i="17"/>
  <c r="AK88" i="17"/>
  <c r="BX81" i="17"/>
  <c r="AG81" i="17" l="1"/>
  <c r="AG88" i="17" s="1"/>
  <c r="AH88" i="17"/>
  <c r="AH95" i="17"/>
  <c r="BX88" i="17"/>
  <c r="BX95" i="17"/>
  <c r="BU88" i="17"/>
  <c r="BU95" i="17"/>
  <c r="AG95" i="17" l="1"/>
  <c r="Z81" i="17"/>
  <c r="AA81" i="17" s="1"/>
  <c r="BN81" i="17" s="1"/>
  <c r="BT81" i="17"/>
  <c r="BT88" i="17"/>
  <c r="BT95" i="17"/>
  <c r="BM81" i="17" l="1"/>
  <c r="BM88" i="17" s="1"/>
  <c r="Z88" i="17"/>
  <c r="Z95" i="17"/>
  <c r="AF81" i="17"/>
  <c r="AF95" i="17" s="1"/>
  <c r="AA88" i="17"/>
  <c r="AA95" i="17"/>
  <c r="BN88" i="17"/>
  <c r="BN95" i="17"/>
  <c r="BM95" i="17" l="1"/>
  <c r="AF88" i="17"/>
  <c r="AL88" i="17" s="1"/>
  <c r="BS81" i="17"/>
  <c r="BS88" i="17" s="1"/>
  <c r="BY88" i="17" s="1"/>
  <c r="AL95" i="17"/>
  <c r="BS95" i="17" l="1"/>
  <c r="BY95" i="17" s="1"/>
  <c r="M83" i="17"/>
  <c r="M97" i="17" s="1"/>
  <c r="AZ97" i="17" s="1"/>
  <c r="N83" i="17" l="1"/>
  <c r="O83" i="17" s="1"/>
  <c r="AZ83" i="17"/>
  <c r="AK83" i="17"/>
  <c r="AK97" i="17" s="1"/>
  <c r="M90" i="17"/>
  <c r="AZ90" i="17" s="1"/>
  <c r="AH83" i="17" l="1"/>
  <c r="AK90" i="17"/>
  <c r="BX90" i="17" s="1"/>
  <c r="BA83" i="17"/>
  <c r="N97" i="17"/>
  <c r="BA97" i="17" s="1"/>
  <c r="N90" i="17"/>
  <c r="BA90" i="17" s="1"/>
  <c r="O97" i="17"/>
  <c r="BB97" i="17" s="1"/>
  <c r="O90" i="17"/>
  <c r="BB90" i="17" s="1"/>
  <c r="BB83" i="17"/>
  <c r="L83" i="17"/>
  <c r="K83" i="17" s="1"/>
  <c r="BX83" i="17"/>
  <c r="BX97" i="17"/>
  <c r="AH90" i="17" l="1"/>
  <c r="BU90" i="17" s="1"/>
  <c r="AH97" i="17"/>
  <c r="BU97" i="17" s="1"/>
  <c r="BU83" i="17"/>
  <c r="AG83" i="17"/>
  <c r="L90" i="17"/>
  <c r="AY90" i="17" s="1"/>
  <c r="AY83" i="17"/>
  <c r="L97" i="17"/>
  <c r="AY97" i="17" s="1"/>
  <c r="AG90" i="17" l="1"/>
  <c r="BT90" i="17" s="1"/>
  <c r="AG97" i="17"/>
  <c r="BT97" i="17" s="1"/>
  <c r="Z83" i="17"/>
  <c r="BT83" i="17"/>
  <c r="AX83" i="17"/>
  <c r="P83" i="17"/>
  <c r="J83" i="17" s="1"/>
  <c r="K97" i="17"/>
  <c r="AX97" i="17" s="1"/>
  <c r="K90" i="17"/>
  <c r="AX90" i="17" s="1"/>
  <c r="Z90" i="17" l="1"/>
  <c r="BM90" i="17" s="1"/>
  <c r="Z97" i="17"/>
  <c r="BM97" i="17" s="1"/>
  <c r="BM83" i="17"/>
  <c r="AA83" i="17"/>
  <c r="Q83" i="17"/>
  <c r="U83" i="17" s="1"/>
  <c r="AW83" i="17"/>
  <c r="J97" i="17"/>
  <c r="AW97" i="17" s="1"/>
  <c r="J90" i="17"/>
  <c r="AW90" i="17" s="1"/>
  <c r="P97" i="17"/>
  <c r="BC97" i="17" s="1"/>
  <c r="P90" i="17"/>
  <c r="BC90" i="17" s="1"/>
  <c r="BC83" i="17"/>
  <c r="AA90" i="17" l="1"/>
  <c r="BN90" i="17" s="1"/>
  <c r="AA97" i="17"/>
  <c r="BN97" i="17" s="1"/>
  <c r="AF83" i="17"/>
  <c r="AF90" i="17" s="1"/>
  <c r="BN83" i="17"/>
  <c r="BH83" i="17"/>
  <c r="U90" i="17"/>
  <c r="BH90" i="17" s="1"/>
  <c r="U97" i="17"/>
  <c r="BH97" i="17" s="1"/>
  <c r="Q97" i="17"/>
  <c r="BD97" i="17" s="1"/>
  <c r="BD83" i="17"/>
  <c r="Q90" i="17"/>
  <c r="BD90" i="17" s="1"/>
  <c r="BS83" i="17" l="1"/>
  <c r="AF97" i="17"/>
  <c r="AL97" i="17" s="1"/>
  <c r="BS90" i="17"/>
  <c r="BY90" i="17" s="1"/>
  <c r="AL90" i="17"/>
  <c r="V90" i="17"/>
  <c r="BI90" i="17"/>
  <c r="BI97" i="17"/>
  <c r="V97" i="17"/>
  <c r="BS97" i="17" l="1"/>
  <c r="BY97" i="17" s="1"/>
  <c r="AR97" i="17" s="1"/>
  <c r="F97" i="17"/>
  <c r="T64" i="4"/>
  <c r="E97" i="17"/>
  <c r="AR90" i="17"/>
  <c r="AQ90" i="17"/>
  <c r="AH64" i="4"/>
  <c r="E90" i="17"/>
  <c r="F90" i="17"/>
  <c r="S64" i="4"/>
  <c r="AQ97" i="17" l="1"/>
  <c r="AJ64" i="4" s="1"/>
  <c r="AI64" i="4"/>
  <c r="AM64" i="4" s="1"/>
  <c r="AK64" i="4"/>
  <c r="V64" i="4"/>
  <c r="AL64" i="4"/>
  <c r="U64" i="4"/>
  <c r="AO64" i="4" l="1"/>
  <c r="AN64" i="4"/>
  <c r="J84" i="17" l="1"/>
  <c r="J98" i="17" s="1"/>
  <c r="Q84" i="17" l="1"/>
  <c r="Q98" i="17" s="1"/>
  <c r="J91" i="17"/>
  <c r="AW84" i="17"/>
  <c r="AW98" i="17" l="1"/>
  <c r="AW91" i="17"/>
  <c r="BD84" i="17"/>
  <c r="U84" i="17"/>
  <c r="U98" i="17" s="1"/>
  <c r="Q91" i="17"/>
  <c r="BD98" i="17" l="1"/>
  <c r="BD91" i="17"/>
  <c r="V98" i="17"/>
  <c r="U91" i="17"/>
  <c r="V91" i="17" s="1"/>
  <c r="E91" i="17" s="1"/>
  <c r="BH84" i="17"/>
  <c r="BH98" i="17" l="1"/>
  <c r="BI98" i="17" s="1"/>
  <c r="AI65" i="4" s="1"/>
  <c r="BH91" i="17"/>
  <c r="BI91" i="17" s="1"/>
  <c r="AQ91" i="17" s="1"/>
  <c r="T65" i="4"/>
  <c r="F98" i="17"/>
  <c r="E98" i="17"/>
  <c r="U65" i="4" s="1"/>
  <c r="S65" i="4"/>
  <c r="F91" i="17"/>
  <c r="AR91" i="17" l="1"/>
  <c r="AH65" i="4"/>
  <c r="AL65" i="4" s="1"/>
  <c r="AM65" i="4"/>
  <c r="V65" i="4"/>
  <c r="AR98" i="17"/>
  <c r="AQ98" i="17"/>
  <c r="AJ65" i="4" s="1"/>
  <c r="AN65" i="4" s="1"/>
  <c r="AK65" i="4" l="1"/>
  <c r="AO65" i="4" s="1"/>
  <c r="M81" i="17"/>
  <c r="M88" i="17" l="1"/>
  <c r="M95" i="17"/>
  <c r="AZ81" i="17"/>
  <c r="N81" i="17"/>
  <c r="N95" i="17" s="1"/>
  <c r="AZ95" i="17" l="1"/>
  <c r="AZ88" i="17"/>
  <c r="O81" i="17"/>
  <c r="BB81" i="17" s="1"/>
  <c r="N88" i="17"/>
  <c r="BA81" i="17"/>
  <c r="BA95" i="17" l="1"/>
  <c r="BA88" i="17"/>
  <c r="BB95" i="17"/>
  <c r="BB88" i="17"/>
  <c r="L81" i="17"/>
  <c r="L95" i="17" s="1"/>
  <c r="O88" i="17"/>
  <c r="O95" i="17"/>
  <c r="K81" i="17" l="1"/>
  <c r="P81" i="17" s="1"/>
  <c r="J81" i="17" s="1"/>
  <c r="Q81" i="17" s="1"/>
  <c r="U81" i="17" s="1"/>
  <c r="AY81" i="17"/>
  <c r="L88" i="17"/>
  <c r="AY95" i="17" l="1"/>
  <c r="AY88" i="17"/>
  <c r="BC81" i="17"/>
  <c r="P95" i="17"/>
  <c r="P88" i="17"/>
  <c r="K95" i="17"/>
  <c r="J95" i="17"/>
  <c r="AX81" i="17"/>
  <c r="J88" i="17"/>
  <c r="K88" i="17"/>
  <c r="AW81" i="17"/>
  <c r="U95" i="17"/>
  <c r="BH81" i="17"/>
  <c r="U88" i="17"/>
  <c r="BD81" i="17"/>
  <c r="Q88" i="17"/>
  <c r="Q95" i="17"/>
  <c r="AW95" i="17" l="1"/>
  <c r="AW88" i="17"/>
  <c r="AX95" i="17"/>
  <c r="AX88" i="17"/>
  <c r="BD95" i="17"/>
  <c r="BD88" i="17"/>
  <c r="BC95" i="17"/>
  <c r="BC88" i="17"/>
  <c r="BH95" i="17"/>
  <c r="BH88" i="17"/>
  <c r="V95" i="17"/>
  <c r="F95" i="17" s="1"/>
  <c r="V88" i="17"/>
  <c r="S62" i="4" s="1"/>
  <c r="BI88" i="17" l="1"/>
  <c r="AH62" i="4" s="1"/>
  <c r="AH60" i="4" s="1"/>
  <c r="T62" i="4"/>
  <c r="E95" i="17"/>
  <c r="F88" i="17"/>
  <c r="V62" i="4" s="1"/>
  <c r="E88" i="17"/>
  <c r="BI95" i="17"/>
  <c r="AQ95" i="17" s="1"/>
  <c r="S60" i="4"/>
  <c r="AR88" i="17" l="1"/>
  <c r="AQ88" i="17"/>
  <c r="AJ62" i="4" s="1"/>
  <c r="U62" i="4"/>
  <c r="AI62" i="4"/>
  <c r="AI60" i="4" s="1"/>
  <c r="AR95" i="17"/>
  <c r="AL62" i="4"/>
  <c r="AL60" i="4" s="1"/>
  <c r="AK62" i="4" l="1"/>
  <c r="AO62" i="4" s="1"/>
  <c r="AM62" i="4"/>
  <c r="AJ60" i="4"/>
  <c r="AN62" i="4"/>
  <c r="AK60" i="4" l="1"/>
  <c r="AH11" i="17" l="1"/>
  <c r="AH13" i="17"/>
  <c r="U14" i="17"/>
  <c r="BH14" i="17" s="1"/>
  <c r="AH14" i="17"/>
  <c r="AH37" i="17" s="1"/>
  <c r="V96" i="17"/>
  <c r="T63" i="4" s="1"/>
  <c r="AK13" i="17" l="1"/>
  <c r="AK36" i="17" s="1"/>
  <c r="AH36" i="17"/>
  <c r="AK11" i="17"/>
  <c r="AG11" i="17" s="1"/>
  <c r="AG34" i="17" s="1"/>
  <c r="AH57" i="17"/>
  <c r="AH34" i="17"/>
  <c r="BH37" i="17"/>
  <c r="BH60" i="17"/>
  <c r="AM63" i="4"/>
  <c r="AM60" i="4" s="1"/>
  <c r="T60" i="4"/>
  <c r="F96" i="17"/>
  <c r="V63" i="4" s="1"/>
  <c r="E96" i="17"/>
  <c r="U63" i="4" s="1"/>
  <c r="BX13" i="17"/>
  <c r="U60" i="17"/>
  <c r="AK14" i="17"/>
  <c r="J14" i="17"/>
  <c r="U37" i="17"/>
  <c r="BU11" i="17"/>
  <c r="AH59" i="17"/>
  <c r="BU13" i="17"/>
  <c r="BU14" i="17"/>
  <c r="AH60" i="17"/>
  <c r="AK59" i="17"/>
  <c r="BX11" i="17" l="1"/>
  <c r="AG13" i="17"/>
  <c r="AG36" i="17" s="1"/>
  <c r="AK57" i="17"/>
  <c r="AK34" i="17"/>
  <c r="AG14" i="17"/>
  <c r="AG37" i="17" s="1"/>
  <c r="AK37" i="17"/>
  <c r="BU60" i="17"/>
  <c r="BU37" i="17"/>
  <c r="BX36" i="17"/>
  <c r="BX59" i="17"/>
  <c r="BU57" i="17"/>
  <c r="BU34" i="17"/>
  <c r="BU36" i="17"/>
  <c r="BU59" i="17"/>
  <c r="BX57" i="17"/>
  <c r="BX34" i="17"/>
  <c r="AN63" i="4"/>
  <c r="AN60" i="4" s="1"/>
  <c r="U60" i="4"/>
  <c r="AO63" i="4"/>
  <c r="AO60" i="4" s="1"/>
  <c r="V60" i="4"/>
  <c r="BX14" i="17"/>
  <c r="AK60" i="17"/>
  <c r="J60" i="17"/>
  <c r="AW14" i="17"/>
  <c r="Q14" i="17"/>
  <c r="J37" i="17"/>
  <c r="Z13" i="17"/>
  <c r="AF13" i="17"/>
  <c r="AF36" i="17" s="1"/>
  <c r="BT13" i="17"/>
  <c r="AF14" i="17"/>
  <c r="AF37" i="17" s="1"/>
  <c r="Z11" i="17"/>
  <c r="Z34" i="17" s="1"/>
  <c r="BT11" i="17"/>
  <c r="AG57" i="17"/>
  <c r="Z14" i="17" l="1"/>
  <c r="Z37" i="17" s="1"/>
  <c r="AG59" i="17"/>
  <c r="AG60" i="17"/>
  <c r="AA14" i="17"/>
  <c r="AA37" i="17" s="1"/>
  <c r="BT14" i="17"/>
  <c r="BT60" i="17" s="1"/>
  <c r="AA13" i="17"/>
  <c r="AA36" i="17" s="1"/>
  <c r="Z36" i="17"/>
  <c r="BT59" i="17"/>
  <c r="BT36" i="17"/>
  <c r="BT57" i="17"/>
  <c r="BT34" i="17"/>
  <c r="AW60" i="17"/>
  <c r="AW37" i="17"/>
  <c r="BX37" i="17"/>
  <c r="BX60" i="17"/>
  <c r="Q60" i="17"/>
  <c r="BD14" i="17"/>
  <c r="Q37" i="17"/>
  <c r="R14" i="17"/>
  <c r="AF60" i="17"/>
  <c r="BS14" i="17"/>
  <c r="Z57" i="17"/>
  <c r="BM11" i="17"/>
  <c r="AF59" i="17"/>
  <c r="BS13" i="17"/>
  <c r="AF11" i="17"/>
  <c r="AF34" i="17" s="1"/>
  <c r="BM13" i="17"/>
  <c r="Z59" i="17"/>
  <c r="BM14" i="17"/>
  <c r="Z60" i="17"/>
  <c r="AA11" i="17"/>
  <c r="AA34" i="17" s="1"/>
  <c r="BT37" i="17" l="1"/>
  <c r="AA60" i="17"/>
  <c r="BN14" i="17"/>
  <c r="BN37" i="17" s="1"/>
  <c r="AB14" i="17"/>
  <c r="AB37" i="17" s="1"/>
  <c r="AL37" i="17" s="1"/>
  <c r="AA59" i="17"/>
  <c r="BN13" i="17"/>
  <c r="BN59" i="17" s="1"/>
  <c r="AB13" i="17"/>
  <c r="AB36" i="17" s="1"/>
  <c r="AL36" i="17" s="1"/>
  <c r="BD60" i="17"/>
  <c r="BD37" i="17"/>
  <c r="BM36" i="17"/>
  <c r="BM59" i="17"/>
  <c r="BM57" i="17"/>
  <c r="BM34" i="17"/>
  <c r="BS37" i="17"/>
  <c r="BS60" i="17"/>
  <c r="BM60" i="17"/>
  <c r="BM37" i="17"/>
  <c r="BS36" i="17"/>
  <c r="BS59" i="17"/>
  <c r="R60" i="17"/>
  <c r="V60" i="17" s="1"/>
  <c r="G22" i="1" s="1"/>
  <c r="D22" i="1" s="1"/>
  <c r="F8" i="1" s="1"/>
  <c r="BE14" i="17"/>
  <c r="R37" i="17"/>
  <c r="V37" i="17" s="1"/>
  <c r="BS11" i="17"/>
  <c r="AF57" i="17"/>
  <c r="AB11" i="17"/>
  <c r="AB34" i="17" s="1"/>
  <c r="AA57" i="17"/>
  <c r="BN11" i="17"/>
  <c r="BO14" i="17"/>
  <c r="AB60" i="17"/>
  <c r="AL60" i="17" s="1"/>
  <c r="BN36" i="17" l="1"/>
  <c r="BN60" i="17"/>
  <c r="AB59" i="17"/>
  <c r="AL59" i="17" s="1"/>
  <c r="BO13" i="17"/>
  <c r="BS57" i="17"/>
  <c r="BS34" i="17"/>
  <c r="BO36" i="17"/>
  <c r="BY36" i="17" s="1"/>
  <c r="BO59" i="17"/>
  <c r="BY59" i="17" s="1"/>
  <c r="BE37" i="17"/>
  <c r="BI37" i="17" s="1"/>
  <c r="BE60" i="17"/>
  <c r="BI60" i="17" s="1"/>
  <c r="BO37" i="17"/>
  <c r="BY37" i="17" s="1"/>
  <c r="BO60" i="17"/>
  <c r="BY60" i="17" s="1"/>
  <c r="BN34" i="17"/>
  <c r="BN57" i="17"/>
  <c r="T26" i="4"/>
  <c r="E60" i="17"/>
  <c r="F60" i="17"/>
  <c r="S26" i="4"/>
  <c r="F37" i="17"/>
  <c r="E37" i="17"/>
  <c r="AL34" i="17"/>
  <c r="AB57" i="17"/>
  <c r="AL57" i="17" s="1"/>
  <c r="BO11" i="17"/>
  <c r="BO57" i="17" l="1"/>
  <c r="BY57" i="17" s="1"/>
  <c r="BO34" i="17"/>
  <c r="BY34" i="17" s="1"/>
  <c r="AH26" i="4"/>
  <c r="AL26" i="4" s="1"/>
  <c r="AR37" i="17"/>
  <c r="AQ37" i="17"/>
  <c r="AQ60" i="17"/>
  <c r="AI26" i="4"/>
  <c r="AM26" i="4" s="1"/>
  <c r="AR60" i="17"/>
  <c r="U26" i="4"/>
  <c r="V26" i="4"/>
  <c r="AJ26" i="4" l="1"/>
  <c r="AN26" i="4" s="1"/>
  <c r="AK26" i="4"/>
  <c r="AO26" i="4" s="1"/>
  <c r="AH10" i="17" l="1"/>
  <c r="AF10" i="17"/>
  <c r="AH12" i="17"/>
  <c r="AF12" i="17"/>
  <c r="AF35" i="17" s="1"/>
  <c r="AK10" i="17" l="1"/>
  <c r="AK33" i="17" s="1"/>
  <c r="AH33" i="17"/>
  <c r="BS10" i="17"/>
  <c r="AF33" i="17"/>
  <c r="AH58" i="17"/>
  <c r="AH35" i="17"/>
  <c r="BU10" i="17"/>
  <c r="BU56" i="17" s="1"/>
  <c r="AF56" i="17"/>
  <c r="BS56" i="17"/>
  <c r="BS33" i="17"/>
  <c r="AF58" i="17"/>
  <c r="BS12" i="17"/>
  <c r="BU12" i="17"/>
  <c r="AH56" i="17"/>
  <c r="AK12" i="17"/>
  <c r="AK35" i="17" s="1"/>
  <c r="AK56" i="17" l="1"/>
  <c r="BX10" i="17"/>
  <c r="BU33" i="17"/>
  <c r="AG10" i="17"/>
  <c r="AG33" i="17" s="1"/>
  <c r="BU58" i="17"/>
  <c r="BU35" i="17"/>
  <c r="BX56" i="17"/>
  <c r="BX33" i="17"/>
  <c r="BS35" i="17"/>
  <c r="BS58" i="17"/>
  <c r="BX12" i="17"/>
  <c r="AK58" i="17"/>
  <c r="AG12" i="17"/>
  <c r="AG35" i="17" s="1"/>
  <c r="Z10" i="17" l="1"/>
  <c r="Z56" i="17" s="1"/>
  <c r="BT10" i="17"/>
  <c r="BT56" i="17" s="1"/>
  <c r="AG56" i="17"/>
  <c r="BX58" i="17"/>
  <c r="BX35" i="17"/>
  <c r="AG58" i="17"/>
  <c r="Z12" i="17"/>
  <c r="BT12" i="17"/>
  <c r="BM10" i="17" l="1"/>
  <c r="AA10" i="17"/>
  <c r="BN10" i="17" s="1"/>
  <c r="BT33" i="17"/>
  <c r="Z33" i="17"/>
  <c r="AA33" i="17"/>
  <c r="AA12" i="17"/>
  <c r="AA35" i="17" s="1"/>
  <c r="Z35" i="17"/>
  <c r="BT58" i="17"/>
  <c r="BT35" i="17"/>
  <c r="BM56" i="17"/>
  <c r="BM33" i="17"/>
  <c r="BM12" i="17"/>
  <c r="Z58" i="17"/>
  <c r="AB10" i="17"/>
  <c r="AB33" i="17" s="1"/>
  <c r="AA56" i="17" l="1"/>
  <c r="AA58" i="17"/>
  <c r="BN12" i="17"/>
  <c r="AB12" i="17"/>
  <c r="AB35" i="17" s="1"/>
  <c r="AL35" i="17" s="1"/>
  <c r="BM35" i="17"/>
  <c r="BM58" i="17"/>
  <c r="BN56" i="17"/>
  <c r="BN33" i="17"/>
  <c r="BN35" i="17"/>
  <c r="BN58" i="17"/>
  <c r="AB58" i="17"/>
  <c r="BO10" i="17"/>
  <c r="AB56" i="17"/>
  <c r="AL33" i="17"/>
  <c r="AL56" i="17" l="1"/>
  <c r="AL58" i="17"/>
  <c r="BO12" i="17"/>
  <c r="BO35" i="17" s="1"/>
  <c r="BY35" i="17" s="1"/>
  <c r="BO56" i="17"/>
  <c r="BY56" i="17" s="1"/>
  <c r="BO33" i="17"/>
  <c r="BY33" i="17" s="1"/>
  <c r="BA10" i="17"/>
  <c r="N11" i="17"/>
  <c r="N57" i="17" s="1"/>
  <c r="N12" i="17"/>
  <c r="BA12" i="17" s="1"/>
  <c r="N13" i="17"/>
  <c r="M13" i="17" s="1"/>
  <c r="BO58" i="17" l="1"/>
  <c r="BY58" i="17" s="1"/>
  <c r="M11" i="17"/>
  <c r="O11" i="17" s="1"/>
  <c r="O34" i="17" s="1"/>
  <c r="N59" i="17"/>
  <c r="N36" i="17"/>
  <c r="BA13" i="17"/>
  <c r="BA33" i="17"/>
  <c r="BA56" i="17"/>
  <c r="N34" i="17"/>
  <c r="BA36" i="17"/>
  <c r="M12" i="17"/>
  <c r="M35" i="17" s="1"/>
  <c r="BA11" i="17"/>
  <c r="M59" i="17"/>
  <c r="M36" i="17"/>
  <c r="O13" i="17"/>
  <c r="AZ13" i="17"/>
  <c r="N58" i="17"/>
  <c r="BA58" i="17" s="1"/>
  <c r="N35" i="17"/>
  <c r="BA35" i="17" s="1"/>
  <c r="M57" i="17" l="1"/>
  <c r="BA59" i="17"/>
  <c r="AZ11" i="17"/>
  <c r="AZ34" i="17" s="1"/>
  <c r="M34" i="17"/>
  <c r="BB11" i="17"/>
  <c r="BB57" i="17" s="1"/>
  <c r="L11" i="17"/>
  <c r="AY11" i="17" s="1"/>
  <c r="O57" i="17"/>
  <c r="M58" i="17"/>
  <c r="AZ12" i="17"/>
  <c r="AZ35" i="17" s="1"/>
  <c r="BA34" i="17"/>
  <c r="BA57" i="17"/>
  <c r="AZ57" i="17"/>
  <c r="AZ36" i="17"/>
  <c r="AZ59" i="17"/>
  <c r="O12" i="17"/>
  <c r="O35" i="17" s="1"/>
  <c r="O59" i="17"/>
  <c r="O36" i="17"/>
  <c r="BB13" i="17"/>
  <c r="AZ10" i="17"/>
  <c r="M56" i="17"/>
  <c r="M33" i="17"/>
  <c r="L13" i="17"/>
  <c r="BB34" i="17" l="1"/>
  <c r="AZ58" i="17"/>
  <c r="L57" i="17"/>
  <c r="K11" i="17"/>
  <c r="K57" i="17" s="1"/>
  <c r="L34" i="17"/>
  <c r="L12" i="17"/>
  <c r="L35" i="17" s="1"/>
  <c r="AY34" i="17"/>
  <c r="AY57" i="17"/>
  <c r="AZ33" i="17"/>
  <c r="AZ56" i="17"/>
  <c r="BB59" i="17"/>
  <c r="BB36" i="17"/>
  <c r="BB12" i="17"/>
  <c r="O58" i="17"/>
  <c r="AY13" i="17"/>
  <c r="L36" i="17"/>
  <c r="K13" i="17"/>
  <c r="L59" i="17"/>
  <c r="L56" i="17"/>
  <c r="AY10" i="17"/>
  <c r="K10" i="17"/>
  <c r="L33" i="17"/>
  <c r="O33" i="17"/>
  <c r="O56" i="17"/>
  <c r="BB10" i="17"/>
  <c r="AX11" i="17" l="1"/>
  <c r="K34" i="17"/>
  <c r="P11" i="17"/>
  <c r="U11" i="17" s="1"/>
  <c r="BH11" i="17" s="1"/>
  <c r="L58" i="17"/>
  <c r="K12" i="17"/>
  <c r="AX12" i="17" s="1"/>
  <c r="AY12" i="17"/>
  <c r="AY35" i="17" s="1"/>
  <c r="BB33" i="17"/>
  <c r="BB56" i="17"/>
  <c r="BB35" i="17"/>
  <c r="BB58" i="17"/>
  <c r="AY33" i="17"/>
  <c r="AY56" i="17"/>
  <c r="AX34" i="17"/>
  <c r="AX57" i="17"/>
  <c r="AY59" i="17"/>
  <c r="AY36" i="17"/>
  <c r="K33" i="17"/>
  <c r="AX10" i="17"/>
  <c r="P10" i="17"/>
  <c r="K56" i="17"/>
  <c r="K36" i="17"/>
  <c r="AX13" i="17"/>
  <c r="P13" i="17"/>
  <c r="U13" i="17" s="1"/>
  <c r="K59" i="17"/>
  <c r="BC11" i="17" l="1"/>
  <c r="AY58" i="17"/>
  <c r="P57" i="17"/>
  <c r="U34" i="17"/>
  <c r="U57" i="17"/>
  <c r="J11" i="17"/>
  <c r="Q11" i="17" s="1"/>
  <c r="Q57" i="17" s="1"/>
  <c r="P34" i="17"/>
  <c r="P12" i="17"/>
  <c r="P58" i="17" s="1"/>
  <c r="K35" i="17"/>
  <c r="AX35" i="17" s="1"/>
  <c r="K58" i="17"/>
  <c r="AX58" i="17" s="1"/>
  <c r="AX36" i="17"/>
  <c r="AX59" i="17"/>
  <c r="AX33" i="17"/>
  <c r="AX56" i="17"/>
  <c r="BC57" i="17"/>
  <c r="BC34" i="17"/>
  <c r="BH34" i="17"/>
  <c r="BH57" i="17"/>
  <c r="BC10" i="17"/>
  <c r="P33" i="17"/>
  <c r="P56" i="17"/>
  <c r="BH13" i="17"/>
  <c r="U59" i="17"/>
  <c r="U36" i="17"/>
  <c r="J13" i="17"/>
  <c r="BC13" i="17"/>
  <c r="P59" i="17"/>
  <c r="P36" i="17"/>
  <c r="U10" i="17"/>
  <c r="J34" i="17" l="1"/>
  <c r="R11" i="17"/>
  <c r="BE11" i="17" s="1"/>
  <c r="BD11" i="17"/>
  <c r="BD57" i="17" s="1"/>
  <c r="Q34" i="17"/>
  <c r="AW11" i="17"/>
  <c r="J57" i="17"/>
  <c r="P35" i="17"/>
  <c r="U12" i="17"/>
  <c r="BH12" i="17" s="1"/>
  <c r="BC12" i="17"/>
  <c r="BC58" i="17" s="1"/>
  <c r="BC33" i="17"/>
  <c r="BC56" i="17"/>
  <c r="BH36" i="17"/>
  <c r="BH59" i="17"/>
  <c r="BC59" i="17"/>
  <c r="BC36" i="17"/>
  <c r="U56" i="17"/>
  <c r="BH10" i="17"/>
  <c r="U33" i="17"/>
  <c r="J10" i="17"/>
  <c r="J56" i="17" s="1"/>
  <c r="AW13" i="17"/>
  <c r="Q13" i="17"/>
  <c r="R13" i="17" s="1"/>
  <c r="J36" i="17"/>
  <c r="J59" i="17"/>
  <c r="R34" i="17"/>
  <c r="R57" i="17" l="1"/>
  <c r="V57" i="17" s="1"/>
  <c r="F57" i="17" s="1"/>
  <c r="BD34" i="17"/>
  <c r="V34" i="17"/>
  <c r="E34" i="17" s="1"/>
  <c r="BC35" i="17"/>
  <c r="AW34" i="17"/>
  <c r="AW57" i="17"/>
  <c r="U58" i="17"/>
  <c r="BH58" i="17" s="1"/>
  <c r="J12" i="17"/>
  <c r="J58" i="17" s="1"/>
  <c r="U35" i="17"/>
  <c r="J33" i="17"/>
  <c r="BH35" i="17"/>
  <c r="AW59" i="17"/>
  <c r="AW36" i="17"/>
  <c r="BH33" i="17"/>
  <c r="BH56" i="17"/>
  <c r="BE34" i="17"/>
  <c r="BE57" i="17"/>
  <c r="AW10" i="17"/>
  <c r="AW33" i="17" s="1"/>
  <c r="Q10" i="17"/>
  <c r="R10" i="17" s="1"/>
  <c r="R59" i="17"/>
  <c r="BE13" i="17"/>
  <c r="R36" i="17"/>
  <c r="Q59" i="17"/>
  <c r="Q36" i="17"/>
  <c r="BD13" i="17"/>
  <c r="BI34" i="17" l="1"/>
  <c r="AR34" i="17" s="1"/>
  <c r="BI57" i="17"/>
  <c r="AI23" i="4" s="1"/>
  <c r="T23" i="4"/>
  <c r="S23" i="4"/>
  <c r="F34" i="17"/>
  <c r="V23" i="4" s="1"/>
  <c r="E57" i="17"/>
  <c r="U23" i="4" s="1"/>
  <c r="J35" i="17"/>
  <c r="AW12" i="17"/>
  <c r="AW35" i="17" s="1"/>
  <c r="Q12" i="17"/>
  <c r="R12" i="17" s="1"/>
  <c r="BE36" i="17"/>
  <c r="BE59" i="17"/>
  <c r="AW56" i="17"/>
  <c r="BD59" i="17"/>
  <c r="BD36" i="17"/>
  <c r="V36" i="17"/>
  <c r="F36" i="17" s="1"/>
  <c r="V59" i="17"/>
  <c r="F59" i="17" s="1"/>
  <c r="Q56" i="17"/>
  <c r="Q33" i="17"/>
  <c r="BD10" i="17"/>
  <c r="AR57" i="17"/>
  <c r="AQ57" i="17"/>
  <c r="AQ34" i="17" l="1"/>
  <c r="AJ23" i="4" s="1"/>
  <c r="AN23" i="4" s="1"/>
  <c r="AH23" i="4"/>
  <c r="AL23" i="4" s="1"/>
  <c r="AM23" i="4"/>
  <c r="AW58" i="17"/>
  <c r="Q35" i="17"/>
  <c r="Q58" i="17"/>
  <c r="BD12" i="17"/>
  <c r="BD35" i="17" s="1"/>
  <c r="BI36" i="17"/>
  <c r="AR36" i="17" s="1"/>
  <c r="BD33" i="17"/>
  <c r="BD56" i="17"/>
  <c r="E36" i="17"/>
  <c r="S25" i="4"/>
  <c r="T25" i="4"/>
  <c r="G21" i="1"/>
  <c r="D21" i="1" s="1"/>
  <c r="F7" i="1" s="1"/>
  <c r="R58" i="17"/>
  <c r="R35" i="17"/>
  <c r="BE12" i="17"/>
  <c r="BI59" i="17"/>
  <c r="AI25" i="4" s="1"/>
  <c r="E59" i="17"/>
  <c r="AK23" i="4"/>
  <c r="AO23" i="4" s="1"/>
  <c r="R56" i="17"/>
  <c r="V56" i="17" s="1"/>
  <c r="E56" i="17" s="1"/>
  <c r="R33" i="17"/>
  <c r="V33" i="17" s="1"/>
  <c r="BE10" i="17"/>
  <c r="V25" i="4"/>
  <c r="V35" i="17" l="1"/>
  <c r="S24" i="4" s="1"/>
  <c r="BD58" i="17"/>
  <c r="V58" i="17"/>
  <c r="F58" i="17" s="1"/>
  <c r="AR59" i="17"/>
  <c r="AK25" i="4" s="1"/>
  <c r="AO25" i="4" s="1"/>
  <c r="AQ36" i="17"/>
  <c r="AH25" i="4"/>
  <c r="AL25" i="4" s="1"/>
  <c r="BE33" i="17"/>
  <c r="BI33" i="17" s="1"/>
  <c r="BE56" i="17"/>
  <c r="BI56" i="17" s="1"/>
  <c r="BE35" i="17"/>
  <c r="BI35" i="17" s="1"/>
  <c r="BE58" i="17"/>
  <c r="U25" i="4"/>
  <c r="AM25" i="4"/>
  <c r="E35" i="17"/>
  <c r="F35" i="17"/>
  <c r="AQ59" i="17"/>
  <c r="F33" i="17"/>
  <c r="E33" i="17"/>
  <c r="S22" i="4"/>
  <c r="G20" i="1"/>
  <c r="D20" i="1" s="1"/>
  <c r="F6" i="1" s="1"/>
  <c r="F56" i="17"/>
  <c r="T22" i="4"/>
  <c r="BI58" i="17" l="1"/>
  <c r="AI24" i="4" s="1"/>
  <c r="T24" i="4"/>
  <c r="T21" i="4" s="1"/>
  <c r="E6" i="4" s="1"/>
  <c r="E58" i="17"/>
  <c r="U24" i="4" s="1"/>
  <c r="AJ25" i="4"/>
  <c r="AN25" i="4" s="1"/>
  <c r="V24" i="4"/>
  <c r="AR35" i="17"/>
  <c r="AQ35" i="17"/>
  <c r="AH24" i="4"/>
  <c r="AL24" i="4" s="1"/>
  <c r="AR33" i="17"/>
  <c r="AQ33" i="17"/>
  <c r="AH22" i="4"/>
  <c r="AL22" i="4" s="1"/>
  <c r="AR56" i="17"/>
  <c r="AQ56" i="17"/>
  <c r="AI22" i="4"/>
  <c r="S21" i="4"/>
  <c r="E5" i="4" s="1"/>
  <c r="U22" i="4"/>
  <c r="V22" i="4"/>
  <c r="AR58" i="17" l="1"/>
  <c r="AK24" i="4" s="1"/>
  <c r="AO24" i="4" s="1"/>
  <c r="AQ58" i="17"/>
  <c r="AJ24" i="4" s="1"/>
  <c r="AN24" i="4" s="1"/>
  <c r="AM24" i="4"/>
  <c r="AI21" i="4"/>
  <c r="F6" i="4" s="1"/>
  <c r="G6" i="4" s="1"/>
  <c r="AJ22" i="4"/>
  <c r="AN22" i="4" s="1"/>
  <c r="AM22" i="4"/>
  <c r="AK22" i="4"/>
  <c r="AL21" i="4"/>
  <c r="AH21" i="4"/>
  <c r="F5" i="4" s="1"/>
  <c r="G5" i="4" s="1"/>
  <c r="V21" i="4"/>
  <c r="E8" i="4" s="1"/>
  <c r="U21" i="4"/>
  <c r="E7" i="4" s="1"/>
  <c r="AM21" i="4" l="1"/>
  <c r="AK21" i="4"/>
  <c r="F8" i="4" s="1"/>
  <c r="G8" i="4" s="1"/>
  <c r="AN21" i="4"/>
  <c r="AJ21" i="4"/>
  <c r="F7" i="4" s="1"/>
  <c r="G7" i="4" s="1"/>
  <c r="AO22" i="4"/>
  <c r="AO21" i="4" s="1"/>
</calcChain>
</file>

<file path=xl/comments1.xml><?xml version="1.0" encoding="utf-8"?>
<comments xmlns="http://schemas.openxmlformats.org/spreadsheetml/2006/main">
  <authors>
    <author>takakusa</author>
  </authors>
  <commentList>
    <comment ref="C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NS:</t>
        </r>
        <r>
          <rPr>
            <sz val="9"/>
            <color indexed="81"/>
            <rFont val="MS P ゴシック"/>
            <family val="3"/>
            <charset val="128"/>
          </rPr>
          <t xml:space="preserve">
「用途」の項目は空調シートからオミット
数式判定のため、C10列の用途には「事務所」と直接入力</t>
        </r>
      </text>
    </comment>
    <comment ref="D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※要：毎年更新
老朽化の指し引き年数を最新へ</t>
        </r>
      </text>
    </comment>
    <comment ref="R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NS:</t>
        </r>
        <r>
          <rPr>
            <sz val="9"/>
            <color indexed="81"/>
            <rFont val="MS P ゴシック"/>
            <family val="3"/>
            <charset val="128"/>
          </rPr>
          <t xml:space="preserve">
参考元のSIIは、仕様上10～12月の負荷率が「0」のため、日数が加味されない。
この算定シートでは加味するため、セル色を青にした月に、負荷率0で加味されない残り日数を代入</t>
        </r>
      </text>
    </comment>
    <comment ref="D8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※要：毎年更新
老朽化の指し引き年数を最新へ</t>
        </r>
      </text>
    </comment>
  </commentList>
</comments>
</file>

<file path=xl/sharedStrings.xml><?xml version="1.0" encoding="utf-8"?>
<sst xmlns="http://schemas.openxmlformats.org/spreadsheetml/2006/main" count="4359" uniqueCount="1161">
  <si>
    <t>事業所のエネルギー使用量の把握</t>
    <rPh sb="0" eb="3">
      <t>ジギョウショ</t>
    </rPh>
    <rPh sb="9" eb="12">
      <t>シヨウリョウ</t>
    </rPh>
    <rPh sb="13" eb="15">
      <t>ハアク</t>
    </rPh>
    <phoneticPr fontId="6"/>
  </si>
  <si>
    <t>年間使用量</t>
    <rPh sb="0" eb="2">
      <t>ネンカン</t>
    </rPh>
    <rPh sb="2" eb="5">
      <t>シヨウリョウ</t>
    </rPh>
    <phoneticPr fontId="6"/>
  </si>
  <si>
    <t>光熱費</t>
    <rPh sb="0" eb="3">
      <t>コウネツヒ</t>
    </rPh>
    <phoneticPr fontId="6"/>
  </si>
  <si>
    <t>CO2排出量</t>
    <rPh sb="3" eb="6">
      <t>ハイシュツリョウ</t>
    </rPh>
    <phoneticPr fontId="6"/>
  </si>
  <si>
    <t>（参考)CO2排出係数</t>
    <rPh sb="1" eb="3">
      <t>サンコウ</t>
    </rPh>
    <rPh sb="7" eb="9">
      <t>ハイシュツ</t>
    </rPh>
    <rPh sb="9" eb="11">
      <t>ケイスウ</t>
    </rPh>
    <phoneticPr fontId="8"/>
  </si>
  <si>
    <t>電気</t>
    <rPh sb="0" eb="2">
      <t>デンキ</t>
    </rPh>
    <phoneticPr fontId="6"/>
  </si>
  <si>
    <t>kWh</t>
    <phoneticPr fontId="6"/>
  </si>
  <si>
    <t>円/年</t>
    <phoneticPr fontId="6"/>
  </si>
  <si>
    <t>tCO2/年</t>
    <rPh sb="5" eb="6">
      <t>ネン</t>
    </rPh>
    <phoneticPr fontId="6"/>
  </si>
  <si>
    <t>都市ガス</t>
    <rPh sb="0" eb="2">
      <t>トシ</t>
    </rPh>
    <phoneticPr fontId="6"/>
  </si>
  <si>
    <t>㎥</t>
    <phoneticPr fontId="6"/>
  </si>
  <si>
    <t>L</t>
    <phoneticPr fontId="6"/>
  </si>
  <si>
    <t>液化石油ガス（LPG）</t>
    <rPh sb="0" eb="2">
      <t>エキカ</t>
    </rPh>
    <rPh sb="2" eb="4">
      <t>セキユ</t>
    </rPh>
    <phoneticPr fontId="8"/>
  </si>
  <si>
    <t>kg</t>
    <phoneticPr fontId="6"/>
  </si>
  <si>
    <t>灯油</t>
    <rPh sb="0" eb="2">
      <t>トウユ</t>
    </rPh>
    <phoneticPr fontId="8"/>
  </si>
  <si>
    <t>A重油</t>
    <rPh sb="1" eb="3">
      <t>ジュウユ</t>
    </rPh>
    <phoneticPr fontId="8"/>
  </si>
  <si>
    <t>合計</t>
    <rPh sb="0" eb="2">
      <t>ゴウケイ</t>
    </rPh>
    <phoneticPr fontId="6"/>
  </si>
  <si>
    <t>kW</t>
    <phoneticPr fontId="6"/>
  </si>
  <si>
    <t>%</t>
    <phoneticPr fontId="6"/>
  </si>
  <si>
    <t>kWh/年</t>
    <rPh sb="4" eb="5">
      <t>ネン</t>
    </rPh>
    <phoneticPr fontId="6"/>
  </si>
  <si>
    <t>項目</t>
    <rPh sb="0" eb="2">
      <t>コウモク</t>
    </rPh>
    <phoneticPr fontId="6"/>
  </si>
  <si>
    <t>単位</t>
    <rPh sb="0" eb="2">
      <t>タンイ</t>
    </rPh>
    <phoneticPr fontId="6"/>
  </si>
  <si>
    <t>更新前</t>
    <rPh sb="0" eb="3">
      <t>コウシンマエ</t>
    </rPh>
    <phoneticPr fontId="6"/>
  </si>
  <si>
    <t>更新後</t>
    <rPh sb="0" eb="2">
      <t>コウシン</t>
    </rPh>
    <rPh sb="2" eb="3">
      <t>ゴ</t>
    </rPh>
    <phoneticPr fontId="6"/>
  </si>
  <si>
    <t>削減量</t>
  </si>
  <si>
    <t>削減率</t>
    <rPh sb="0" eb="3">
      <t>サクゲンリツ</t>
    </rPh>
    <phoneticPr fontId="6"/>
  </si>
  <si>
    <t>年間消費電力量</t>
    <rPh sb="0" eb="2">
      <t>ネンカン</t>
    </rPh>
    <rPh sb="2" eb="7">
      <t>ショウヒデンリョクリョウ</t>
    </rPh>
    <phoneticPr fontId="6"/>
  </si>
  <si>
    <t>円/年</t>
    <rPh sb="0" eb="1">
      <t>エン</t>
    </rPh>
    <rPh sb="2" eb="3">
      <t>ネン</t>
    </rPh>
    <phoneticPr fontId="6"/>
  </si>
  <si>
    <t>原油換算エネルギー使用量</t>
    <rPh sb="0" eb="4">
      <t>ゲンユカンザン</t>
    </rPh>
    <rPh sb="9" eb="12">
      <t>シヨウリョウ</t>
    </rPh>
    <phoneticPr fontId="6"/>
  </si>
  <si>
    <t>kl/年</t>
    <rPh sb="3" eb="4">
      <t>ネン</t>
    </rPh>
    <phoneticPr fontId="6"/>
  </si>
  <si>
    <t>機種別内訳</t>
    <rPh sb="0" eb="3">
      <t>キシュベツ</t>
    </rPh>
    <rPh sb="3" eb="5">
      <t>ウチワケ</t>
    </rPh>
    <phoneticPr fontId="6"/>
  </si>
  <si>
    <t>削減効果</t>
    <rPh sb="0" eb="2">
      <t>サクゲン</t>
    </rPh>
    <rPh sb="2" eb="4">
      <t>コウカ</t>
    </rPh>
    <phoneticPr fontId="6"/>
  </si>
  <si>
    <t>メーカー・型番</t>
    <rPh sb="5" eb="7">
      <t>カタバン</t>
    </rPh>
    <phoneticPr fontId="6"/>
  </si>
  <si>
    <t>消費電力（a）</t>
    <rPh sb="0" eb="2">
      <t>ショウヒ</t>
    </rPh>
    <rPh sb="2" eb="4">
      <t>デンリョク</t>
    </rPh>
    <phoneticPr fontId="6"/>
  </si>
  <si>
    <t>数量(n)</t>
    <rPh sb="0" eb="2">
      <t>スウリョウ</t>
    </rPh>
    <phoneticPr fontId="6"/>
  </si>
  <si>
    <t>年間消費電力量(E)</t>
    <rPh sb="0" eb="2">
      <t>ネンカン</t>
    </rPh>
    <rPh sb="2" eb="7">
      <t>ショウヒデンリョクリョウ</t>
    </rPh>
    <phoneticPr fontId="6"/>
  </si>
  <si>
    <t>CO2排出量
(C)</t>
    <rPh sb="3" eb="6">
      <t>ハイシュツリョウ</t>
    </rPh>
    <phoneticPr fontId="6"/>
  </si>
  <si>
    <t>消費電力（a'）</t>
    <rPh sb="0" eb="2">
      <t>ショウヒ</t>
    </rPh>
    <rPh sb="2" eb="4">
      <t>デンリョク</t>
    </rPh>
    <phoneticPr fontId="6"/>
  </si>
  <si>
    <t>数量(n')</t>
    <rPh sb="0" eb="2">
      <t>スウリョウ</t>
    </rPh>
    <phoneticPr fontId="6"/>
  </si>
  <si>
    <t>年間使用日数</t>
    <rPh sb="0" eb="2">
      <t>ネンカン</t>
    </rPh>
    <rPh sb="2" eb="4">
      <t>シヨウ</t>
    </rPh>
    <rPh sb="4" eb="6">
      <t>ニッスウ</t>
    </rPh>
    <phoneticPr fontId="6"/>
  </si>
  <si>
    <t>年間消費電力量(E')</t>
    <rPh sb="0" eb="2">
      <t>ネンカン</t>
    </rPh>
    <rPh sb="2" eb="7">
      <t>ショウヒデンリョクリョウ</t>
    </rPh>
    <phoneticPr fontId="6"/>
  </si>
  <si>
    <t>CO2排出量(C')</t>
    <rPh sb="3" eb="6">
      <t>ハイシュツリョウ</t>
    </rPh>
    <phoneticPr fontId="6"/>
  </si>
  <si>
    <t>電力削減量（E-E’）</t>
    <rPh sb="0" eb="2">
      <t>デンリョク</t>
    </rPh>
    <rPh sb="2" eb="5">
      <t>サクゲンリョウ</t>
    </rPh>
    <phoneticPr fontId="6"/>
  </si>
  <si>
    <t>CO2削減量（C-C’）</t>
    <rPh sb="3" eb="6">
      <t>サクゲンリョウ</t>
    </rPh>
    <phoneticPr fontId="6"/>
  </si>
  <si>
    <t>W/台</t>
    <rPh sb="2" eb="3">
      <t>ダイ</t>
    </rPh>
    <phoneticPr fontId="6"/>
  </si>
  <si>
    <t>台</t>
    <rPh sb="0" eb="1">
      <t>ダイ</t>
    </rPh>
    <phoneticPr fontId="6"/>
  </si>
  <si>
    <t>時間／日</t>
    <rPh sb="0" eb="2">
      <t>ジカン</t>
    </rPh>
    <rPh sb="3" eb="4">
      <t>ニチ</t>
    </rPh>
    <phoneticPr fontId="6"/>
  </si>
  <si>
    <t>日／年</t>
    <rPh sb="0" eb="1">
      <t>ニチ</t>
    </rPh>
    <rPh sb="2" eb="3">
      <t>ネン</t>
    </rPh>
    <phoneticPr fontId="6"/>
  </si>
  <si>
    <t>時間／年</t>
    <rPh sb="0" eb="2">
      <t>ジカン</t>
    </rPh>
    <rPh sb="3" eb="4">
      <t>ネン</t>
    </rPh>
    <phoneticPr fontId="6"/>
  </si>
  <si>
    <t>機種1</t>
    <rPh sb="0" eb="2">
      <t>キシュ</t>
    </rPh>
    <phoneticPr fontId="6"/>
  </si>
  <si>
    <t>機種2</t>
    <rPh sb="0" eb="2">
      <t>キシュ</t>
    </rPh>
    <phoneticPr fontId="6"/>
  </si>
  <si>
    <t>機種3</t>
    <rPh sb="0" eb="2">
      <t>キシュ</t>
    </rPh>
    <phoneticPr fontId="6"/>
  </si>
  <si>
    <t>機種4</t>
    <rPh sb="0" eb="2">
      <t>キシュ</t>
    </rPh>
    <phoneticPr fontId="6"/>
  </si>
  <si>
    <t>機種5</t>
    <rPh sb="0" eb="2">
      <t>キシュ</t>
    </rPh>
    <phoneticPr fontId="6"/>
  </si>
  <si>
    <t>機種6</t>
    <rPh sb="0" eb="2">
      <t>キシュ</t>
    </rPh>
    <phoneticPr fontId="6"/>
  </si>
  <si>
    <t>機種7</t>
    <rPh sb="0" eb="2">
      <t>キシュ</t>
    </rPh>
    <phoneticPr fontId="6"/>
  </si>
  <si>
    <t>機種8</t>
    <rPh sb="0" eb="2">
      <t>キシュ</t>
    </rPh>
    <phoneticPr fontId="6"/>
  </si>
  <si>
    <t>機種9</t>
    <rPh sb="0" eb="2">
      <t>キシュ</t>
    </rPh>
    <phoneticPr fontId="6"/>
  </si>
  <si>
    <t>機種10</t>
    <rPh sb="0" eb="2">
      <t>キシュ</t>
    </rPh>
    <phoneticPr fontId="6"/>
  </si>
  <si>
    <t>機種11</t>
    <rPh sb="0" eb="2">
      <t>キシュ</t>
    </rPh>
    <phoneticPr fontId="6"/>
  </si>
  <si>
    <t>機種12</t>
    <rPh sb="0" eb="2">
      <t>キシュ</t>
    </rPh>
    <phoneticPr fontId="6"/>
  </si>
  <si>
    <t>機種13</t>
    <rPh sb="0" eb="2">
      <t>キシュ</t>
    </rPh>
    <phoneticPr fontId="6"/>
  </si>
  <si>
    <t>機種14</t>
    <rPh sb="0" eb="2">
      <t>キシュ</t>
    </rPh>
    <phoneticPr fontId="6"/>
  </si>
  <si>
    <t>機種15</t>
    <rPh sb="0" eb="2">
      <t>キシュ</t>
    </rPh>
    <phoneticPr fontId="6"/>
  </si>
  <si>
    <t>機種16</t>
    <rPh sb="0" eb="2">
      <t>キシュ</t>
    </rPh>
    <phoneticPr fontId="6"/>
  </si>
  <si>
    <t>機種17</t>
    <rPh sb="0" eb="2">
      <t>キシュ</t>
    </rPh>
    <phoneticPr fontId="6"/>
  </si>
  <si>
    <t>機種18</t>
    <rPh sb="0" eb="2">
      <t>キシュ</t>
    </rPh>
    <phoneticPr fontId="6"/>
  </si>
  <si>
    <t>機種19</t>
    <rPh sb="0" eb="2">
      <t>キシュ</t>
    </rPh>
    <phoneticPr fontId="6"/>
  </si>
  <si>
    <t>機種20</t>
    <rPh sb="0" eb="2">
      <t>キシュ</t>
    </rPh>
    <phoneticPr fontId="6"/>
  </si>
  <si>
    <t>機種21</t>
    <rPh sb="0" eb="2">
      <t>キシュ</t>
    </rPh>
    <phoneticPr fontId="6"/>
  </si>
  <si>
    <t>機種22</t>
    <rPh sb="0" eb="2">
      <t>キシュ</t>
    </rPh>
    <phoneticPr fontId="6"/>
  </si>
  <si>
    <t>機種23</t>
    <rPh sb="0" eb="2">
      <t>キシュ</t>
    </rPh>
    <phoneticPr fontId="6"/>
  </si>
  <si>
    <t>機種24</t>
    <rPh sb="0" eb="2">
      <t>キシュ</t>
    </rPh>
    <phoneticPr fontId="6"/>
  </si>
  <si>
    <t>機種25</t>
    <rPh sb="0" eb="2">
      <t>キシュ</t>
    </rPh>
    <phoneticPr fontId="6"/>
  </si>
  <si>
    <t>機種26</t>
    <rPh sb="0" eb="2">
      <t>キシュ</t>
    </rPh>
    <phoneticPr fontId="6"/>
  </si>
  <si>
    <t>機種27</t>
    <rPh sb="0" eb="2">
      <t>キシュ</t>
    </rPh>
    <phoneticPr fontId="6"/>
  </si>
  <si>
    <t>機種28</t>
    <rPh sb="0" eb="2">
      <t>キシュ</t>
    </rPh>
    <phoneticPr fontId="6"/>
  </si>
  <si>
    <t>機種29</t>
    <rPh sb="0" eb="2">
      <t>キシュ</t>
    </rPh>
    <phoneticPr fontId="6"/>
  </si>
  <si>
    <t>機種30</t>
    <rPh sb="0" eb="2">
      <t>キシュ</t>
    </rPh>
    <phoneticPr fontId="6"/>
  </si>
  <si>
    <t>機種31</t>
    <rPh sb="0" eb="2">
      <t>キシュ</t>
    </rPh>
    <phoneticPr fontId="6"/>
  </si>
  <si>
    <t>機種32</t>
    <rPh sb="0" eb="2">
      <t>キシュ</t>
    </rPh>
    <phoneticPr fontId="6"/>
  </si>
  <si>
    <t>機種33</t>
    <rPh sb="0" eb="2">
      <t>キシュ</t>
    </rPh>
    <phoneticPr fontId="6"/>
  </si>
  <si>
    <t>機種34</t>
    <rPh sb="0" eb="2">
      <t>キシュ</t>
    </rPh>
    <phoneticPr fontId="6"/>
  </si>
  <si>
    <t>機種35</t>
    <rPh sb="0" eb="2">
      <t>キシュ</t>
    </rPh>
    <phoneticPr fontId="6"/>
  </si>
  <si>
    <t>機種36</t>
    <rPh sb="0" eb="2">
      <t>キシュ</t>
    </rPh>
    <phoneticPr fontId="6"/>
  </si>
  <si>
    <t>機種37</t>
    <rPh sb="0" eb="2">
      <t>キシュ</t>
    </rPh>
    <phoneticPr fontId="6"/>
  </si>
  <si>
    <t>機種38</t>
    <rPh sb="0" eb="2">
      <t>キシュ</t>
    </rPh>
    <phoneticPr fontId="6"/>
  </si>
  <si>
    <t>機種39</t>
    <rPh sb="0" eb="2">
      <t>キシュ</t>
    </rPh>
    <phoneticPr fontId="6"/>
  </si>
  <si>
    <t>機種40</t>
    <rPh sb="0" eb="2">
      <t>キシュ</t>
    </rPh>
    <phoneticPr fontId="6"/>
  </si>
  <si>
    <t>機種41</t>
    <rPh sb="0" eb="2">
      <t>キシュ</t>
    </rPh>
    <phoneticPr fontId="6"/>
  </si>
  <si>
    <t>機種42</t>
    <rPh sb="0" eb="2">
      <t>キシュ</t>
    </rPh>
    <phoneticPr fontId="6"/>
  </si>
  <si>
    <t>機種43</t>
    <rPh sb="0" eb="2">
      <t>キシュ</t>
    </rPh>
    <phoneticPr fontId="6"/>
  </si>
  <si>
    <t>機種44</t>
    <rPh sb="0" eb="2">
      <t>キシュ</t>
    </rPh>
    <phoneticPr fontId="6"/>
  </si>
  <si>
    <t>機種45</t>
    <rPh sb="0" eb="2">
      <t>キシュ</t>
    </rPh>
    <phoneticPr fontId="6"/>
  </si>
  <si>
    <t>機種46</t>
    <rPh sb="0" eb="2">
      <t>キシュ</t>
    </rPh>
    <phoneticPr fontId="6"/>
  </si>
  <si>
    <t>機種47</t>
    <rPh sb="0" eb="2">
      <t>キシュ</t>
    </rPh>
    <phoneticPr fontId="6"/>
  </si>
  <si>
    <t>機種48</t>
    <rPh sb="0" eb="2">
      <t>キシュ</t>
    </rPh>
    <phoneticPr fontId="6"/>
  </si>
  <si>
    <t>機種49</t>
    <rPh sb="0" eb="2">
      <t>キシュ</t>
    </rPh>
    <phoneticPr fontId="6"/>
  </si>
  <si>
    <t>機種50</t>
    <rPh sb="0" eb="2">
      <t>キシュ</t>
    </rPh>
    <phoneticPr fontId="6"/>
  </si>
  <si>
    <t>負荷率</t>
    <rPh sb="0" eb="3">
      <t>フカリツ</t>
    </rPh>
    <phoneticPr fontId="6"/>
  </si>
  <si>
    <t>電力消費量</t>
    <rPh sb="0" eb="2">
      <t>デンリョク</t>
    </rPh>
    <rPh sb="2" eb="5">
      <t>ショウヒリョウ</t>
    </rPh>
    <phoneticPr fontId="6"/>
  </si>
  <si>
    <t>CO2排出量</t>
    <rPh sb="3" eb="5">
      <t>ハイシュツ</t>
    </rPh>
    <rPh sb="5" eb="6">
      <t>リョウ</t>
    </rPh>
    <phoneticPr fontId="6"/>
  </si>
  <si>
    <t>更新後</t>
    <rPh sb="0" eb="3">
      <t>コウシンゴ</t>
    </rPh>
    <phoneticPr fontId="6"/>
  </si>
  <si>
    <t>冷房</t>
    <rPh sb="0" eb="2">
      <t>レイボウ</t>
    </rPh>
    <phoneticPr fontId="6"/>
  </si>
  <si>
    <t>暖房</t>
    <rPh sb="0" eb="2">
      <t>ダンボウ</t>
    </rPh>
    <phoneticPr fontId="6"/>
  </si>
  <si>
    <t>台数(n)</t>
    <rPh sb="0" eb="2">
      <t>ダイスウ</t>
    </rPh>
    <phoneticPr fontId="6"/>
  </si>
  <si>
    <t>台数(n')</t>
    <rPh sb="0" eb="2">
      <t>ダイスウ</t>
    </rPh>
    <phoneticPr fontId="6"/>
  </si>
  <si>
    <t>kW/台</t>
    <rPh sb="3" eb="4">
      <t>ダイ</t>
    </rPh>
    <phoneticPr fontId="6"/>
  </si>
  <si>
    <t>13A</t>
    <phoneticPr fontId="13"/>
  </si>
  <si>
    <t>12A</t>
    <phoneticPr fontId="13"/>
  </si>
  <si>
    <t>ガス消費量</t>
    <rPh sb="2" eb="5">
      <t>ショウヒリョウ</t>
    </rPh>
    <phoneticPr fontId="6"/>
  </si>
  <si>
    <t>㎥/年</t>
    <rPh sb="2" eb="3">
      <t>ネン</t>
    </rPh>
    <phoneticPr fontId="6"/>
  </si>
  <si>
    <t>LP</t>
    <phoneticPr fontId="13"/>
  </si>
  <si>
    <t>燃料種類</t>
    <rPh sb="0" eb="2">
      <t>ネンリョウ</t>
    </rPh>
    <rPh sb="2" eb="4">
      <t>シュルイ</t>
    </rPh>
    <phoneticPr fontId="13"/>
  </si>
  <si>
    <t>排出係数</t>
    <rPh sb="0" eb="4">
      <t>ハイシュツケイスウ</t>
    </rPh>
    <phoneticPr fontId="6"/>
  </si>
  <si>
    <t>単価</t>
    <rPh sb="0" eb="2">
      <t>タンカ</t>
    </rPh>
    <phoneticPr fontId="6"/>
  </si>
  <si>
    <t>年間定格消費ガス量（F）</t>
    <rPh sb="0" eb="2">
      <t>ネンカン</t>
    </rPh>
    <rPh sb="2" eb="4">
      <t>テイカク</t>
    </rPh>
    <rPh sb="4" eb="6">
      <t>ショウヒ</t>
    </rPh>
    <rPh sb="8" eb="9">
      <t>リョウ</t>
    </rPh>
    <phoneticPr fontId="6"/>
  </si>
  <si>
    <t>年間定格消費ガス量（F’）</t>
    <rPh sb="0" eb="2">
      <t>ネンカン</t>
    </rPh>
    <rPh sb="2" eb="4">
      <t>テイカク</t>
    </rPh>
    <rPh sb="4" eb="6">
      <t>ショウヒ</t>
    </rPh>
    <rPh sb="8" eb="9">
      <t>リョウ</t>
    </rPh>
    <phoneticPr fontId="6"/>
  </si>
  <si>
    <t>燃料削減量(F-F')</t>
    <rPh sb="0" eb="2">
      <t>ネンリョウ</t>
    </rPh>
    <rPh sb="2" eb="4">
      <t>サクゲン</t>
    </rPh>
    <phoneticPr fontId="6"/>
  </si>
  <si>
    <t>㎥/年</t>
    <phoneticPr fontId="6"/>
  </si>
  <si>
    <t>燃料単位</t>
    <rPh sb="0" eb="4">
      <t>ネンリョウタンイ</t>
    </rPh>
    <phoneticPr fontId="6"/>
  </si>
  <si>
    <t>原油換算発熱量</t>
    <rPh sb="0" eb="4">
      <t>ゲンユカンザン</t>
    </rPh>
    <rPh sb="4" eb="7">
      <t>ハツネツリョウ</t>
    </rPh>
    <phoneticPr fontId="6"/>
  </si>
  <si>
    <t>都市ガス</t>
    <rPh sb="0" eb="2">
      <t>トシ</t>
    </rPh>
    <phoneticPr fontId="8"/>
  </si>
  <si>
    <t>燃料単位</t>
    <rPh sb="0" eb="2">
      <t>ネンリョウ</t>
    </rPh>
    <rPh sb="2" eb="4">
      <t>タンイ</t>
    </rPh>
    <phoneticPr fontId="6"/>
  </si>
  <si>
    <t>能力</t>
    <rPh sb="0" eb="2">
      <t>ノウリョク</t>
    </rPh>
    <phoneticPr fontId="6"/>
  </si>
  <si>
    <t>効率</t>
    <rPh sb="0" eb="2">
      <t>コウリツ</t>
    </rPh>
    <phoneticPr fontId="6"/>
  </si>
  <si>
    <t>燃料消費量(A)</t>
    <phoneticPr fontId="6"/>
  </si>
  <si>
    <t>必要熱量</t>
    <rPh sb="0" eb="2">
      <t>ヒツヨウ</t>
    </rPh>
    <rPh sb="2" eb="4">
      <t>ネツリョウ</t>
    </rPh>
    <phoneticPr fontId="6"/>
  </si>
  <si>
    <t>年間燃料消費量(F)</t>
    <rPh sb="0" eb="2">
      <t>ネンカン</t>
    </rPh>
    <rPh sb="6" eb="7">
      <t>リョウ</t>
    </rPh>
    <phoneticPr fontId="6"/>
  </si>
  <si>
    <t>CO2排出量(C)</t>
    <rPh sb="3" eb="6">
      <t>ハイシュツリョウ</t>
    </rPh>
    <phoneticPr fontId="6"/>
  </si>
  <si>
    <t>燃料消費量(A')</t>
    <phoneticPr fontId="6"/>
  </si>
  <si>
    <t>年間燃料消費量(F')</t>
    <rPh sb="0" eb="2">
      <t>ネンカン</t>
    </rPh>
    <rPh sb="6" eb="7">
      <t>リョウ</t>
    </rPh>
    <phoneticPr fontId="6"/>
  </si>
  <si>
    <t>CO2削減量(C-C')</t>
    <rPh sb="3" eb="6">
      <t>サクゲンリョウ</t>
    </rPh>
    <phoneticPr fontId="6"/>
  </si>
  <si>
    <t>％</t>
    <phoneticPr fontId="6"/>
  </si>
  <si>
    <t>MJ</t>
    <phoneticPr fontId="6"/>
  </si>
  <si>
    <t>必要熱量換算</t>
    <rPh sb="0" eb="4">
      <t>ヒツヨウネツリョウ</t>
    </rPh>
    <rPh sb="4" eb="6">
      <t>カンサン</t>
    </rPh>
    <phoneticPr fontId="6"/>
  </si>
  <si>
    <t>設備1</t>
    <rPh sb="0" eb="2">
      <t>セツビ</t>
    </rPh>
    <phoneticPr fontId="6"/>
  </si>
  <si>
    <t>設備2</t>
    <rPh sb="0" eb="2">
      <t>セツビ</t>
    </rPh>
    <phoneticPr fontId="6"/>
  </si>
  <si>
    <t>設備3</t>
    <rPh sb="0" eb="2">
      <t>セツビ</t>
    </rPh>
    <phoneticPr fontId="6"/>
  </si>
  <si>
    <t>設備4</t>
    <rPh sb="0" eb="2">
      <t>セツビ</t>
    </rPh>
    <phoneticPr fontId="6"/>
  </si>
  <si>
    <t>設備5</t>
    <rPh sb="0" eb="2">
      <t>セツビ</t>
    </rPh>
    <phoneticPr fontId="6"/>
  </si>
  <si>
    <t>設備6</t>
    <rPh sb="0" eb="2">
      <t>セツビ</t>
    </rPh>
    <phoneticPr fontId="6"/>
  </si>
  <si>
    <t>設備7</t>
    <rPh sb="0" eb="2">
      <t>セツビ</t>
    </rPh>
    <phoneticPr fontId="6"/>
  </si>
  <si>
    <t>設備8</t>
    <rPh sb="0" eb="2">
      <t>セツビ</t>
    </rPh>
    <phoneticPr fontId="6"/>
  </si>
  <si>
    <t>設備9</t>
    <rPh sb="0" eb="2">
      <t>セツビ</t>
    </rPh>
    <phoneticPr fontId="6"/>
  </si>
  <si>
    <t>設備10</t>
    <rPh sb="0" eb="2">
      <t>セツビ</t>
    </rPh>
    <phoneticPr fontId="6"/>
  </si>
  <si>
    <t>設備11</t>
    <rPh sb="0" eb="2">
      <t>セツビ</t>
    </rPh>
    <phoneticPr fontId="6"/>
  </si>
  <si>
    <t>設備12</t>
    <rPh sb="0" eb="2">
      <t>セツビ</t>
    </rPh>
    <phoneticPr fontId="6"/>
  </si>
  <si>
    <t>設備13</t>
    <rPh sb="0" eb="2">
      <t>セツビ</t>
    </rPh>
    <phoneticPr fontId="6"/>
  </si>
  <si>
    <t>設備14</t>
    <rPh sb="0" eb="2">
      <t>セツビ</t>
    </rPh>
    <phoneticPr fontId="6"/>
  </si>
  <si>
    <t>設備15</t>
    <rPh sb="0" eb="2">
      <t>セツビ</t>
    </rPh>
    <phoneticPr fontId="6"/>
  </si>
  <si>
    <t>その他設備の更新</t>
    <rPh sb="2" eb="5">
      <t>タセツビ</t>
    </rPh>
    <rPh sb="6" eb="8">
      <t>コウシン</t>
    </rPh>
    <phoneticPr fontId="6"/>
  </si>
  <si>
    <t>その他設備の更新によるCO2削減量、光熱費削減量</t>
    <rPh sb="2" eb="3">
      <t>タ</t>
    </rPh>
    <rPh sb="3" eb="5">
      <t>セツビ</t>
    </rPh>
    <rPh sb="6" eb="8">
      <t>コウシン</t>
    </rPh>
    <rPh sb="14" eb="17">
      <t>サクゲンリョウ</t>
    </rPh>
    <rPh sb="18" eb="21">
      <t>コウネツヒ</t>
    </rPh>
    <rPh sb="21" eb="24">
      <t>サクゲンリョウ</t>
    </rPh>
    <phoneticPr fontId="6"/>
  </si>
  <si>
    <t>燃料消費量</t>
    <rPh sb="0" eb="2">
      <t>ネンリョウ</t>
    </rPh>
    <rPh sb="2" eb="5">
      <t>ショウヒリョウ</t>
    </rPh>
    <phoneticPr fontId="6"/>
  </si>
  <si>
    <t>設備16</t>
    <rPh sb="0" eb="2">
      <t>セツビ</t>
    </rPh>
    <phoneticPr fontId="6"/>
  </si>
  <si>
    <t>設備17</t>
    <rPh sb="0" eb="2">
      <t>セツビ</t>
    </rPh>
    <phoneticPr fontId="6"/>
  </si>
  <si>
    <t>設備18</t>
    <rPh sb="0" eb="2">
      <t>セツビ</t>
    </rPh>
    <phoneticPr fontId="6"/>
  </si>
  <si>
    <t>設備19</t>
    <rPh sb="0" eb="2">
      <t>セツビ</t>
    </rPh>
    <phoneticPr fontId="6"/>
  </si>
  <si>
    <t>設備20</t>
    <rPh sb="0" eb="2">
      <t>セツビ</t>
    </rPh>
    <phoneticPr fontId="6"/>
  </si>
  <si>
    <t>規格</t>
    <rPh sb="0" eb="2">
      <t>キカク</t>
    </rPh>
    <phoneticPr fontId="6"/>
  </si>
  <si>
    <t>定格出力(a)</t>
    <rPh sb="0" eb="2">
      <t>テイカク</t>
    </rPh>
    <rPh sb="2" eb="4">
      <t>シュツリョク</t>
    </rPh>
    <phoneticPr fontId="6"/>
  </si>
  <si>
    <t>極数</t>
    <rPh sb="0" eb="1">
      <t>キョク</t>
    </rPh>
    <rPh sb="1" eb="2">
      <t>スウ</t>
    </rPh>
    <phoneticPr fontId="6"/>
  </si>
  <si>
    <t>効率(p)</t>
    <rPh sb="0" eb="2">
      <t>コウリツ</t>
    </rPh>
    <phoneticPr fontId="6"/>
  </si>
  <si>
    <t>消費電力(b=a/p)</t>
    <rPh sb="0" eb="4">
      <t>ショウヒデンリョク</t>
    </rPh>
    <phoneticPr fontId="6"/>
  </si>
  <si>
    <t>負荷率(r)</t>
    <rPh sb="0" eb="3">
      <t>フカリツ</t>
    </rPh>
    <phoneticPr fontId="6"/>
  </si>
  <si>
    <r>
      <t>CO2排出量(C</t>
    </r>
    <r>
      <rPr>
        <sz val="11"/>
        <color theme="1"/>
        <rFont val="游ゴシック"/>
        <family val="2"/>
        <scheme val="minor"/>
      </rPr>
      <t>)</t>
    </r>
    <phoneticPr fontId="6"/>
  </si>
  <si>
    <t>定格出力(a')</t>
    <rPh sb="0" eb="2">
      <t>テイカク</t>
    </rPh>
    <rPh sb="2" eb="4">
      <t>シュツリョク</t>
    </rPh>
    <phoneticPr fontId="6"/>
  </si>
  <si>
    <t>効率(p')</t>
    <rPh sb="0" eb="2">
      <t>コウリツ</t>
    </rPh>
    <phoneticPr fontId="6"/>
  </si>
  <si>
    <t>消費電力(b'=a'/p')</t>
    <rPh sb="0" eb="4">
      <t>ショウヒデンリョク</t>
    </rPh>
    <phoneticPr fontId="6"/>
  </si>
  <si>
    <t>負荷率(r')</t>
    <rPh sb="0" eb="3">
      <t>フカリツ</t>
    </rPh>
    <phoneticPr fontId="6"/>
  </si>
  <si>
    <t>CO2排出量(C')</t>
    <phoneticPr fontId="6"/>
  </si>
  <si>
    <t>電力削減量（ΔE=E-E’）</t>
    <rPh sb="0" eb="2">
      <t>デンリョク</t>
    </rPh>
    <rPh sb="2" eb="5">
      <t>サクゲンリョウ</t>
    </rPh>
    <phoneticPr fontId="6"/>
  </si>
  <si>
    <t>CO2削減量（ΔC=C-C’）</t>
    <rPh sb="3" eb="6">
      <t>サクゲンリョウ</t>
    </rPh>
    <phoneticPr fontId="6"/>
  </si>
  <si>
    <t>h/年</t>
    <rPh sb="2" eb="3">
      <t>ネン</t>
    </rPh>
    <phoneticPr fontId="6"/>
  </si>
  <si>
    <t>IE3</t>
  </si>
  <si>
    <t>IE1</t>
  </si>
  <si>
    <t>変圧器の更新</t>
    <rPh sb="0" eb="3">
      <t>ヘンアツキ</t>
    </rPh>
    <rPh sb="4" eb="6">
      <t>コウシン</t>
    </rPh>
    <phoneticPr fontId="6"/>
  </si>
  <si>
    <t>容量</t>
    <rPh sb="0" eb="2">
      <t>ヨウリョウ</t>
    </rPh>
    <phoneticPr fontId="6"/>
  </si>
  <si>
    <t>無負荷損（a）</t>
    <rPh sb="0" eb="4">
      <t>ムフカゾン</t>
    </rPh>
    <phoneticPr fontId="6"/>
  </si>
  <si>
    <t>負荷損(b)</t>
    <rPh sb="0" eb="3">
      <t>フカゾン</t>
    </rPh>
    <phoneticPr fontId="6"/>
  </si>
  <si>
    <t>負荷率
(r)</t>
    <rPh sb="0" eb="3">
      <t>フカリツ</t>
    </rPh>
    <phoneticPr fontId="6"/>
  </si>
  <si>
    <t>kVA</t>
    <phoneticPr fontId="6"/>
  </si>
  <si>
    <t>W</t>
    <phoneticPr fontId="6"/>
  </si>
  <si>
    <t>排出係数</t>
    <rPh sb="0" eb="4">
      <t>ハイシュツケイスウ</t>
    </rPh>
    <phoneticPr fontId="8"/>
  </si>
  <si>
    <t>エネルギーの種類</t>
    <rPh sb="6" eb="8">
      <t>シュルイ</t>
    </rPh>
    <phoneticPr fontId="8"/>
  </si>
  <si>
    <t>単位発熱量</t>
    <phoneticPr fontId="6"/>
  </si>
  <si>
    <t>発熱量単位</t>
    <rPh sb="3" eb="5">
      <t>タンイ</t>
    </rPh>
    <phoneticPr fontId="8"/>
  </si>
  <si>
    <t>エネルギー単位</t>
    <rPh sb="5" eb="7">
      <t>タンイ</t>
    </rPh>
    <phoneticPr fontId="8"/>
  </si>
  <si>
    <t>炭素換算</t>
    <rPh sb="0" eb="4">
      <t>タンソカンサン</t>
    </rPh>
    <phoneticPr fontId="8"/>
  </si>
  <si>
    <t>単位</t>
    <rPh sb="0" eb="2">
      <t>タンイ</t>
    </rPh>
    <phoneticPr fontId="8"/>
  </si>
  <si>
    <t>CO2排出係数</t>
    <rPh sb="3" eb="5">
      <t>ハイシュツ</t>
    </rPh>
    <rPh sb="5" eb="7">
      <t>ケイスウ</t>
    </rPh>
    <phoneticPr fontId="8"/>
  </si>
  <si>
    <t>原油（コンデンセートを除く。）</t>
    <rPh sb="0" eb="2">
      <t>ゲンユ</t>
    </rPh>
    <rPh sb="11" eb="12">
      <t>ノゾ</t>
    </rPh>
    <phoneticPr fontId="8"/>
  </si>
  <si>
    <t>tC/GJ</t>
    <phoneticPr fontId="8"/>
  </si>
  <si>
    <t>原油のうちコンデンセート（NGL）</t>
    <rPh sb="0" eb="2">
      <t>ゲンユ</t>
    </rPh>
    <phoneticPr fontId="8"/>
  </si>
  <si>
    <t>揮発油（ガソリン）</t>
    <rPh sb="0" eb="3">
      <t>キハツユ</t>
    </rPh>
    <phoneticPr fontId="8"/>
  </si>
  <si>
    <t>ナフサ</t>
    <phoneticPr fontId="8"/>
  </si>
  <si>
    <t>軽油</t>
    <rPh sb="0" eb="2">
      <t>ケイユ</t>
    </rPh>
    <phoneticPr fontId="8"/>
  </si>
  <si>
    <t>B・C重油</t>
    <rPh sb="3" eb="5">
      <t>ジュウユ</t>
    </rPh>
    <phoneticPr fontId="8"/>
  </si>
  <si>
    <t>石油アスファルト</t>
    <rPh sb="0" eb="2">
      <t>セキユ</t>
    </rPh>
    <phoneticPr fontId="8"/>
  </si>
  <si>
    <t>石油コークス</t>
    <rPh sb="0" eb="2">
      <t>セキユ</t>
    </rPh>
    <phoneticPr fontId="8"/>
  </si>
  <si>
    <t>石油系炭化水素ガス</t>
    <rPh sb="0" eb="3">
      <t>セキユケイ</t>
    </rPh>
    <rPh sb="3" eb="5">
      <t>タンカ</t>
    </rPh>
    <rPh sb="5" eb="7">
      <t>スイソ</t>
    </rPh>
    <phoneticPr fontId="8"/>
  </si>
  <si>
    <t>液化天然ガス（LＮG）</t>
    <rPh sb="0" eb="2">
      <t>エキカ</t>
    </rPh>
    <rPh sb="2" eb="4">
      <t>テンネン</t>
    </rPh>
    <phoneticPr fontId="8"/>
  </si>
  <si>
    <t>その他可燃性天然ガス</t>
    <rPh sb="2" eb="3">
      <t>タ</t>
    </rPh>
    <rPh sb="3" eb="6">
      <t>カネンセイ</t>
    </rPh>
    <rPh sb="6" eb="8">
      <t>テンネン</t>
    </rPh>
    <phoneticPr fontId="8"/>
  </si>
  <si>
    <t>原料炭</t>
    <rPh sb="0" eb="2">
      <t>ゲンリョウ</t>
    </rPh>
    <rPh sb="2" eb="3">
      <t>タン</t>
    </rPh>
    <phoneticPr fontId="8"/>
  </si>
  <si>
    <t>一般炭</t>
    <rPh sb="0" eb="2">
      <t>イッパン</t>
    </rPh>
    <rPh sb="2" eb="3">
      <t>タン</t>
    </rPh>
    <phoneticPr fontId="8"/>
  </si>
  <si>
    <t>無煙炭</t>
    <rPh sb="0" eb="2">
      <t>ムエン</t>
    </rPh>
    <rPh sb="2" eb="3">
      <t>タン</t>
    </rPh>
    <phoneticPr fontId="8"/>
  </si>
  <si>
    <t>石炭コークス</t>
    <rPh sb="0" eb="2">
      <t>セキタン</t>
    </rPh>
    <phoneticPr fontId="8"/>
  </si>
  <si>
    <t>コールタール</t>
    <phoneticPr fontId="8"/>
  </si>
  <si>
    <t>コークス炉ガス</t>
    <rPh sb="4" eb="5">
      <t>ロ</t>
    </rPh>
    <phoneticPr fontId="8"/>
  </si>
  <si>
    <t>高炉ガス</t>
    <rPh sb="0" eb="2">
      <t>コウロ</t>
    </rPh>
    <phoneticPr fontId="8"/>
  </si>
  <si>
    <t>転炉ガス</t>
    <rPh sb="0" eb="2">
      <t>テンロ</t>
    </rPh>
    <phoneticPr fontId="8"/>
  </si>
  <si>
    <t>産業用蒸気</t>
    <rPh sb="0" eb="3">
      <t>サンギョウヨウ</t>
    </rPh>
    <rPh sb="3" eb="5">
      <t>ジョウキ</t>
    </rPh>
    <phoneticPr fontId="8"/>
  </si>
  <si>
    <t>tCO2/GJ</t>
    <phoneticPr fontId="8"/>
  </si>
  <si>
    <t>産業用以外の蒸気</t>
    <rPh sb="0" eb="3">
      <t>サンギョウヨウ</t>
    </rPh>
    <rPh sb="3" eb="5">
      <t>イガイ</t>
    </rPh>
    <rPh sb="6" eb="8">
      <t>ジョウキ</t>
    </rPh>
    <phoneticPr fontId="8"/>
  </si>
  <si>
    <t>温水</t>
    <rPh sb="0" eb="2">
      <t>オンスイ</t>
    </rPh>
    <phoneticPr fontId="8"/>
  </si>
  <si>
    <t>冷水</t>
    <rPh sb="0" eb="2">
      <t>レイスイ</t>
    </rPh>
    <phoneticPr fontId="8"/>
  </si>
  <si>
    <t>tCO2/kWh</t>
    <phoneticPr fontId="8"/>
  </si>
  <si>
    <t>2極</t>
    <phoneticPr fontId="6"/>
  </si>
  <si>
    <t>4極</t>
  </si>
  <si>
    <t>6極</t>
    <phoneticPr fontId="6"/>
  </si>
  <si>
    <t>8極</t>
    <rPh sb="1" eb="2">
      <t>キョク</t>
    </rPh>
    <phoneticPr fontId="6"/>
  </si>
  <si>
    <t>IE1</t>
    <phoneticPr fontId="6"/>
  </si>
  <si>
    <t>IE2</t>
    <phoneticPr fontId="6"/>
  </si>
  <si>
    <t>IE3</t>
    <phoneticPr fontId="6"/>
  </si>
  <si>
    <t>IE4</t>
    <phoneticPr fontId="6"/>
  </si>
  <si>
    <t>※台数(n)の増加は認められません。</t>
    <rPh sb="1" eb="3">
      <t>ダイスウ</t>
    </rPh>
    <rPh sb="7" eb="9">
      <t>ゾウカ</t>
    </rPh>
    <rPh sb="10" eb="11">
      <t>ミト</t>
    </rPh>
    <phoneticPr fontId="6"/>
  </si>
  <si>
    <t>入力例</t>
    <rPh sb="0" eb="2">
      <t>ニュウリョク</t>
    </rPh>
    <rPh sb="2" eb="3">
      <t>レイ</t>
    </rPh>
    <phoneticPr fontId="6"/>
  </si>
  <si>
    <t>定格能力合計（kW）</t>
    <rPh sb="0" eb="2">
      <t>テイカク</t>
    </rPh>
    <rPh sb="2" eb="4">
      <t>ノウリョク</t>
    </rPh>
    <rPh sb="4" eb="6">
      <t>ゴウケイ</t>
    </rPh>
    <phoneticPr fontId="6"/>
  </si>
  <si>
    <t>kW/台</t>
    <rPh sb="3" eb="4">
      <t>ダイ</t>
    </rPh>
    <phoneticPr fontId="6"/>
  </si>
  <si>
    <t>○</t>
  </si>
  <si>
    <t>％</t>
    <phoneticPr fontId="6"/>
  </si>
  <si>
    <t>定格燃料消費量(A)</t>
    <rPh sb="0" eb="2">
      <t>テイカク</t>
    </rPh>
    <phoneticPr fontId="6"/>
  </si>
  <si>
    <t>空冷式冷房能力</t>
    <rPh sb="0" eb="3">
      <t>クウレイシキ</t>
    </rPh>
    <rPh sb="3" eb="5">
      <t>レイボウ</t>
    </rPh>
    <rPh sb="5" eb="7">
      <t>ノウリョク</t>
    </rPh>
    <phoneticPr fontId="6"/>
  </si>
  <si>
    <t>kcal/h</t>
    <phoneticPr fontId="6"/>
  </si>
  <si>
    <t> 1.6/1.8</t>
  </si>
  <si>
    <t> 1,400/1,600</t>
  </si>
  <si>
    <t> 0.7</t>
  </si>
  <si>
    <t> 2.0/2.2</t>
  </si>
  <si>
    <t> 1,800/2,000</t>
  </si>
  <si>
    <t> 0.8</t>
  </si>
  <si>
    <t> 2.5/2.8</t>
  </si>
  <si>
    <t> 2,240/2,500</t>
  </si>
  <si>
    <t> 1</t>
  </si>
  <si>
    <t> 3.2/3.6</t>
  </si>
  <si>
    <t> 2,800/3,150</t>
  </si>
  <si>
    <t> 1.3</t>
  </si>
  <si>
    <t> 4.0/4.5</t>
  </si>
  <si>
    <t> 3,550/4,000</t>
  </si>
  <si>
    <t> 1.8</t>
  </si>
  <si>
    <t> 4.5/5.0</t>
  </si>
  <si>
    <t> 4,000/4,500</t>
  </si>
  <si>
    <t> 2</t>
  </si>
  <si>
    <t> 5.0/5.6</t>
  </si>
  <si>
    <t> 4,500/5,000</t>
  </si>
  <si>
    <t> 2.3</t>
  </si>
  <si>
    <t> 5.6/6.3</t>
  </si>
  <si>
    <t> 5,000/5,600</t>
  </si>
  <si>
    <t> 2.5</t>
  </si>
  <si>
    <t> 6.3/7.1</t>
  </si>
  <si>
    <t> 5,600/6,300</t>
  </si>
  <si>
    <t> 2.8</t>
  </si>
  <si>
    <t> 7.1/8.0</t>
  </si>
  <si>
    <t> 6,300/7,100</t>
  </si>
  <si>
    <t> 3</t>
  </si>
  <si>
    <t> 8.0/9.0</t>
  </si>
  <si>
    <t> 7,100/8,000</t>
  </si>
  <si>
    <t> 3.3</t>
  </si>
  <si>
    <t> 10/11.2</t>
  </si>
  <si>
    <t> 9,000/10,000</t>
  </si>
  <si>
    <t> 4</t>
  </si>
  <si>
    <t> 12.5/14.0</t>
  </si>
  <si>
    <t> 11,200/12,500</t>
  </si>
  <si>
    <t> 5</t>
  </si>
  <si>
    <t> 14.0/16.0</t>
  </si>
  <si>
    <t> 12,500/14,000</t>
  </si>
  <si>
    <t> 6</t>
  </si>
  <si>
    <t> 18.0/20.0</t>
  </si>
  <si>
    <t> 16,000/18,000</t>
  </si>
  <si>
    <t> 7.5</t>
  </si>
  <si>
    <t> 20.0/22.4</t>
  </si>
  <si>
    <t> 18,000/20,000</t>
  </si>
  <si>
    <t> 8</t>
  </si>
  <si>
    <t> 25.0/28.0</t>
  </si>
  <si>
    <t> 22,400/25,000</t>
  </si>
  <si>
    <t> 10</t>
  </si>
  <si>
    <t> 31.5/35.5</t>
  </si>
  <si>
    <t> 28,000/31,500</t>
  </si>
  <si>
    <t> 13</t>
  </si>
  <si>
    <t> 35.5/40.0</t>
  </si>
  <si>
    <t> 31,500/35,500</t>
  </si>
  <si>
    <t> 15</t>
  </si>
  <si>
    <t> 40.0/45.0</t>
  </si>
  <si>
    <t> 35,500/40,000</t>
  </si>
  <si>
    <t> 16</t>
  </si>
  <si>
    <t> 50.0/56.0</t>
  </si>
  <si>
    <t> 45,000/50,000</t>
  </si>
  <si>
    <t> 20</t>
  </si>
  <si>
    <t> 56.0/63.0</t>
  </si>
  <si>
    <t> 50,000/56,000</t>
  </si>
  <si>
    <t> 25</t>
  </si>
  <si>
    <t> 71.0/80.0</t>
  </si>
  <si>
    <t> 63,000/71,000</t>
  </si>
  <si>
    <t> 30</t>
  </si>
  <si>
    <t> 100/112</t>
  </si>
  <si>
    <t> 90,000/100,000</t>
  </si>
  <si>
    <t> 40</t>
  </si>
  <si>
    <t> 125/140</t>
  </si>
  <si>
    <t> 112,000/125,000</t>
  </si>
  <si>
    <t> 50</t>
  </si>
  <si>
    <t> 140/160</t>
  </si>
  <si>
    <t> 125,000/140,000</t>
  </si>
  <si>
    <t> 60</t>
  </si>
  <si>
    <t> 200/224</t>
  </si>
  <si>
    <t> 180,000/200,000</t>
  </si>
  <si>
    <t> 80</t>
  </si>
  <si>
    <t> 250/280</t>
  </si>
  <si>
    <t> 224,000/250,000</t>
  </si>
  <si>
    <t> 100</t>
  </si>
  <si>
    <t> 280/315</t>
  </si>
  <si>
    <t> 250,000/280,000</t>
  </si>
  <si>
    <t> 120</t>
  </si>
  <si>
    <t>水冷式冷暖房能力</t>
    <rPh sb="0" eb="3">
      <t>スイレイシキ</t>
    </rPh>
    <rPh sb="3" eb="6">
      <t>レイダンボウ</t>
    </rPh>
    <rPh sb="6" eb="8">
      <t>ノウリョク</t>
    </rPh>
    <phoneticPr fontId="6"/>
  </si>
  <si>
    <t>1.8/2.0</t>
  </si>
  <si>
    <t> 1,600/1,800</t>
  </si>
  <si>
    <t> 0.6</t>
  </si>
  <si>
    <t> 0.9</t>
  </si>
  <si>
    <t> 9.0/10.0</t>
  </si>
  <si>
    <t> 8,000/9,000</t>
  </si>
  <si>
    <t> 11.2/12.5</t>
  </si>
  <si>
    <t> 10,000/11,200</t>
  </si>
  <si>
    <t> 22.4/25.0</t>
  </si>
  <si>
    <t> 20,000/22,400</t>
  </si>
  <si>
    <t> 28.0/31.5</t>
  </si>
  <si>
    <t> 25,000/28,000</t>
  </si>
  <si>
    <t> 45.0/50.0</t>
  </si>
  <si>
    <t> 40,000/45,000</t>
  </si>
  <si>
    <t> 90.0/100</t>
  </si>
  <si>
    <t> 80,000/90,000</t>
  </si>
  <si>
    <t> 112/125</t>
  </si>
  <si>
    <t> 100,000/112,000</t>
  </si>
  <si>
    <t> 180/200</t>
  </si>
  <si>
    <t> 160,000/180,000</t>
  </si>
  <si>
    <t> 224/250</t>
  </si>
  <si>
    <t> 200,000/224,000</t>
  </si>
  <si>
    <t> 355/400</t>
  </si>
  <si>
    <t> 315,000/355,000</t>
  </si>
  <si>
    <t>パッケージエアコン</t>
    <phoneticPr fontId="6"/>
  </si>
  <si>
    <t>kW表示</t>
    <rPh sb="2" eb="4">
      <t>ヒョウジ</t>
    </rPh>
    <phoneticPr fontId="6"/>
  </si>
  <si>
    <t>kcal/h表示</t>
    <phoneticPr fontId="6"/>
  </si>
  <si>
    <t>馬力表示</t>
    <rPh sb="0" eb="2">
      <t>バリキ</t>
    </rPh>
    <phoneticPr fontId="6"/>
  </si>
  <si>
    <t>kW表示</t>
    <phoneticPr fontId="6"/>
  </si>
  <si>
    <t>年間使用
日数(d)</t>
    <rPh sb="0" eb="2">
      <t>ネンカン</t>
    </rPh>
    <rPh sb="2" eb="4">
      <t>シヨウ</t>
    </rPh>
    <rPh sb="5" eb="7">
      <t>ニッスウ</t>
    </rPh>
    <phoneticPr fontId="6"/>
  </si>
  <si>
    <t>年間消費
電力量(E)</t>
    <rPh sb="0" eb="2">
      <t>ネンカン</t>
    </rPh>
    <rPh sb="2" eb="4">
      <t>ショウヒ</t>
    </rPh>
    <rPh sb="5" eb="7">
      <t>デンリョク</t>
    </rPh>
    <rPh sb="7" eb="8">
      <t>リョウ</t>
    </rPh>
    <phoneticPr fontId="6"/>
  </si>
  <si>
    <t>年間消費
電力量(E')</t>
    <rPh sb="0" eb="2">
      <t>ネンカン</t>
    </rPh>
    <rPh sb="2" eb="4">
      <t>ショウヒ</t>
    </rPh>
    <rPh sb="5" eb="7">
      <t>デンリョク</t>
    </rPh>
    <rPh sb="7" eb="8">
      <t>リョウ</t>
    </rPh>
    <phoneticPr fontId="6"/>
  </si>
  <si>
    <t>●仕様書（例）</t>
    <rPh sb="1" eb="4">
      <t>シヨウショ</t>
    </rPh>
    <rPh sb="5" eb="6">
      <t>レイ</t>
    </rPh>
    <phoneticPr fontId="6"/>
  </si>
  <si>
    <t>能力単位</t>
    <rPh sb="0" eb="2">
      <t>ノウリョク</t>
    </rPh>
    <rPh sb="2" eb="4">
      <t>タンイ</t>
    </rPh>
    <phoneticPr fontId="6"/>
  </si>
  <si>
    <t>定格加熱能力/相当蒸発量</t>
    <rPh sb="0" eb="2">
      <t>テイカク</t>
    </rPh>
    <rPh sb="2" eb="4">
      <t>カネツ</t>
    </rPh>
    <rPh sb="4" eb="6">
      <t>ノウリョク</t>
    </rPh>
    <rPh sb="7" eb="9">
      <t>ソウトウ</t>
    </rPh>
    <rPh sb="9" eb="11">
      <t>ジョウハツ</t>
    </rPh>
    <rPh sb="11" eb="12">
      <t>リョウ</t>
    </rPh>
    <phoneticPr fontId="6"/>
  </si>
  <si>
    <t>t/h</t>
    <phoneticPr fontId="6"/>
  </si>
  <si>
    <t>MJ</t>
  </si>
  <si>
    <t>機種名</t>
    <rPh sb="0" eb="3">
      <t>キシュメイ</t>
    </rPh>
    <phoneticPr fontId="6"/>
  </si>
  <si>
    <t>電源</t>
    <rPh sb="0" eb="2">
      <t>デンゲン</t>
    </rPh>
    <phoneticPr fontId="6"/>
  </si>
  <si>
    <t>kW</t>
    <phoneticPr fontId="6"/>
  </si>
  <si>
    <t>%</t>
    <phoneticPr fontId="6"/>
  </si>
  <si>
    <t>出力（kW）</t>
    <rPh sb="0" eb="2">
      <t>シュツリョク</t>
    </rPh>
    <phoneticPr fontId="6"/>
  </si>
  <si>
    <t>4極</t>
    <phoneticPr fontId="6"/>
  </si>
  <si>
    <t>インバーター</t>
    <phoneticPr fontId="6"/>
  </si>
  <si>
    <t>IE2</t>
  </si>
  <si>
    <t>定格能力の増減</t>
    <rPh sb="0" eb="2">
      <t>テイカク</t>
    </rPh>
    <rPh sb="2" eb="4">
      <t>ノウリョク</t>
    </rPh>
    <rPh sb="5" eb="7">
      <t>ゾウゲン</t>
    </rPh>
    <phoneticPr fontId="6"/>
  </si>
  <si>
    <t>定格出力の増減</t>
    <rPh sb="0" eb="2">
      <t>テイカク</t>
    </rPh>
    <rPh sb="2" eb="4">
      <t>シュツリョク</t>
    </rPh>
    <rPh sb="5" eb="7">
      <t>ゾウゲン</t>
    </rPh>
    <phoneticPr fontId="6"/>
  </si>
  <si>
    <t>項目</t>
    <rPh sb="0" eb="2">
      <t>コウモク</t>
    </rPh>
    <phoneticPr fontId="6"/>
  </si>
  <si>
    <t>項目</t>
    <rPh sb="0" eb="2">
      <t>コウモク</t>
    </rPh>
    <phoneticPr fontId="6"/>
  </si>
  <si>
    <t>能力の増減</t>
    <rPh sb="0" eb="2">
      <t>ノウリョク</t>
    </rPh>
    <rPh sb="3" eb="5">
      <t>ゾウゲン</t>
    </rPh>
    <phoneticPr fontId="6"/>
  </si>
  <si>
    <t>容量の増減</t>
    <rPh sb="0" eb="2">
      <t>ヨウリョウ</t>
    </rPh>
    <rPh sb="3" eb="5">
      <t>ゾウゲン</t>
    </rPh>
    <phoneticPr fontId="6"/>
  </si>
  <si>
    <t>※選択</t>
  </si>
  <si>
    <t>※選択</t>
    <rPh sb="1" eb="3">
      <t>センタク</t>
    </rPh>
    <phoneticPr fontId="6"/>
  </si>
  <si>
    <t>単価</t>
    <rPh sb="0" eb="2">
      <t>タンカ</t>
    </rPh>
    <phoneticPr fontId="6"/>
  </si>
  <si>
    <t>エネルギーの種類</t>
    <rPh sb="6" eb="8">
      <t>シュルイ</t>
    </rPh>
    <phoneticPr fontId="6"/>
  </si>
  <si>
    <t>光熱費</t>
    <rPh sb="0" eb="3">
      <t>コウネツヒ</t>
    </rPh>
    <phoneticPr fontId="6"/>
  </si>
  <si>
    <t>円/年</t>
  </si>
  <si>
    <t>kW</t>
  </si>
  <si>
    <t>特記事項</t>
    <rPh sb="0" eb="2">
      <t>トッキ</t>
    </rPh>
    <rPh sb="2" eb="4">
      <t>ジコウ</t>
    </rPh>
    <phoneticPr fontId="6"/>
  </si>
  <si>
    <t>kWh</t>
  </si>
  <si>
    <t>ー</t>
  </si>
  <si>
    <t>導入年度</t>
    <rPh sb="0" eb="2">
      <t>ドウニュウ</t>
    </rPh>
    <rPh sb="2" eb="4">
      <t>ネンド</t>
    </rPh>
    <phoneticPr fontId="6"/>
  </si>
  <si>
    <t>設備種類</t>
    <rPh sb="0" eb="2">
      <t>セツビ</t>
    </rPh>
    <rPh sb="2" eb="4">
      <t>シュルイ</t>
    </rPh>
    <phoneticPr fontId="6"/>
  </si>
  <si>
    <t>給湯器（HP）</t>
  </si>
  <si>
    <t>加熱式設備経年劣化率(q)</t>
    <rPh sb="0" eb="2">
      <t>カネツ</t>
    </rPh>
    <rPh sb="2" eb="3">
      <t>シキ</t>
    </rPh>
    <rPh sb="3" eb="5">
      <t>セツビ</t>
    </rPh>
    <rPh sb="5" eb="7">
      <t>ケイネン</t>
    </rPh>
    <rPh sb="7" eb="9">
      <t>レッカ</t>
    </rPh>
    <rPh sb="9" eb="10">
      <t>リツ</t>
    </rPh>
    <phoneticPr fontId="6"/>
  </si>
  <si>
    <t>ー</t>
    <phoneticPr fontId="6"/>
  </si>
  <si>
    <t>液化石油ガス（LPG）</t>
  </si>
  <si>
    <t>都市ガス</t>
    <rPh sb="0" eb="2">
      <t>トシ</t>
    </rPh>
    <phoneticPr fontId="6"/>
  </si>
  <si>
    <t>係数</t>
    <rPh sb="0" eb="2">
      <t>ケイスウ</t>
    </rPh>
    <phoneticPr fontId="6"/>
  </si>
  <si>
    <t>単位</t>
    <rPh sb="0" eb="2">
      <t>タンイ</t>
    </rPh>
    <phoneticPr fontId="6"/>
  </si>
  <si>
    <t>項目</t>
    <rPh sb="0" eb="2">
      <t>コウモク</t>
    </rPh>
    <phoneticPr fontId="6"/>
  </si>
  <si>
    <t>液化石油ガス（LPG）</t>
    <rPh sb="0" eb="2">
      <t>エキカ</t>
    </rPh>
    <rPh sb="2" eb="4">
      <t>セキユ</t>
    </rPh>
    <phoneticPr fontId="6"/>
  </si>
  <si>
    <t>コンプレッサーの更新</t>
    <phoneticPr fontId="6"/>
  </si>
  <si>
    <t>ボイラー・給湯器の更新</t>
    <rPh sb="5" eb="8">
      <t>キュウトウキ</t>
    </rPh>
    <phoneticPr fontId="6"/>
  </si>
  <si>
    <t>機種51</t>
    <rPh sb="0" eb="2">
      <t>キシュ</t>
    </rPh>
    <phoneticPr fontId="6"/>
  </si>
  <si>
    <t>機種52</t>
    <rPh sb="0" eb="2">
      <t>キシュ</t>
    </rPh>
    <phoneticPr fontId="6"/>
  </si>
  <si>
    <t>機種53</t>
    <rPh sb="0" eb="2">
      <t>キシュ</t>
    </rPh>
    <phoneticPr fontId="6"/>
  </si>
  <si>
    <t>機種54</t>
    <rPh sb="0" eb="2">
      <t>キシュ</t>
    </rPh>
    <phoneticPr fontId="6"/>
  </si>
  <si>
    <t>機種55</t>
    <rPh sb="0" eb="2">
      <t>キシュ</t>
    </rPh>
    <phoneticPr fontId="6"/>
  </si>
  <si>
    <t>機種56</t>
    <rPh sb="0" eb="2">
      <t>キシュ</t>
    </rPh>
    <phoneticPr fontId="6"/>
  </si>
  <si>
    <t>機種57</t>
    <rPh sb="0" eb="2">
      <t>キシュ</t>
    </rPh>
    <phoneticPr fontId="6"/>
  </si>
  <si>
    <t>機種58</t>
    <rPh sb="0" eb="2">
      <t>キシュ</t>
    </rPh>
    <phoneticPr fontId="6"/>
  </si>
  <si>
    <t>機種59</t>
    <rPh sb="0" eb="2">
      <t>キシュ</t>
    </rPh>
    <phoneticPr fontId="6"/>
  </si>
  <si>
    <t>機種60</t>
    <rPh sb="0" eb="2">
      <t>キシュ</t>
    </rPh>
    <phoneticPr fontId="6"/>
  </si>
  <si>
    <t>機種61</t>
    <rPh sb="0" eb="2">
      <t>キシュ</t>
    </rPh>
    <phoneticPr fontId="6"/>
  </si>
  <si>
    <t>機種62</t>
    <rPh sb="0" eb="2">
      <t>キシュ</t>
    </rPh>
    <phoneticPr fontId="6"/>
  </si>
  <si>
    <t>機種63</t>
    <rPh sb="0" eb="2">
      <t>キシュ</t>
    </rPh>
    <phoneticPr fontId="6"/>
  </si>
  <si>
    <t>機種64</t>
    <rPh sb="0" eb="2">
      <t>キシュ</t>
    </rPh>
    <phoneticPr fontId="6"/>
  </si>
  <si>
    <t>機種65</t>
    <rPh sb="0" eb="2">
      <t>キシュ</t>
    </rPh>
    <phoneticPr fontId="6"/>
  </si>
  <si>
    <t>機種66</t>
    <rPh sb="0" eb="2">
      <t>キシュ</t>
    </rPh>
    <phoneticPr fontId="6"/>
  </si>
  <si>
    <t>機種67</t>
    <rPh sb="0" eb="2">
      <t>キシュ</t>
    </rPh>
    <phoneticPr fontId="6"/>
  </si>
  <si>
    <t>機種68</t>
    <rPh sb="0" eb="2">
      <t>キシュ</t>
    </rPh>
    <phoneticPr fontId="6"/>
  </si>
  <si>
    <t>機種69</t>
    <rPh sb="0" eb="2">
      <t>キシュ</t>
    </rPh>
    <phoneticPr fontId="6"/>
  </si>
  <si>
    <t>機種70</t>
    <rPh sb="0" eb="2">
      <t>キシュ</t>
    </rPh>
    <phoneticPr fontId="6"/>
  </si>
  <si>
    <t>機種71</t>
    <rPh sb="0" eb="2">
      <t>キシュ</t>
    </rPh>
    <phoneticPr fontId="6"/>
  </si>
  <si>
    <t>機種72</t>
    <rPh sb="0" eb="2">
      <t>キシュ</t>
    </rPh>
    <phoneticPr fontId="6"/>
  </si>
  <si>
    <t>機種73</t>
    <rPh sb="0" eb="2">
      <t>キシュ</t>
    </rPh>
    <phoneticPr fontId="6"/>
  </si>
  <si>
    <t>機種74</t>
    <rPh sb="0" eb="2">
      <t>キシュ</t>
    </rPh>
    <phoneticPr fontId="6"/>
  </si>
  <si>
    <t>機種75</t>
    <rPh sb="0" eb="2">
      <t>キシュ</t>
    </rPh>
    <phoneticPr fontId="6"/>
  </si>
  <si>
    <t>機種76</t>
    <rPh sb="0" eb="2">
      <t>キシュ</t>
    </rPh>
    <phoneticPr fontId="6"/>
  </si>
  <si>
    <t>機種77</t>
    <rPh sb="0" eb="2">
      <t>キシュ</t>
    </rPh>
    <phoneticPr fontId="6"/>
  </si>
  <si>
    <t>機種78</t>
    <rPh sb="0" eb="2">
      <t>キシュ</t>
    </rPh>
    <phoneticPr fontId="6"/>
  </si>
  <si>
    <t>機種79</t>
    <rPh sb="0" eb="2">
      <t>キシュ</t>
    </rPh>
    <phoneticPr fontId="6"/>
  </si>
  <si>
    <t>機種80</t>
    <rPh sb="0" eb="2">
      <t>キシュ</t>
    </rPh>
    <phoneticPr fontId="6"/>
  </si>
  <si>
    <t>機種81</t>
    <rPh sb="0" eb="2">
      <t>キシュ</t>
    </rPh>
    <phoneticPr fontId="6"/>
  </si>
  <si>
    <t>機種82</t>
    <rPh sb="0" eb="2">
      <t>キシュ</t>
    </rPh>
    <phoneticPr fontId="6"/>
  </si>
  <si>
    <t>機種83</t>
    <rPh sb="0" eb="2">
      <t>キシュ</t>
    </rPh>
    <phoneticPr fontId="6"/>
  </si>
  <si>
    <t>機種84</t>
    <rPh sb="0" eb="2">
      <t>キシュ</t>
    </rPh>
    <phoneticPr fontId="6"/>
  </si>
  <si>
    <t>機種85</t>
    <rPh sb="0" eb="2">
      <t>キシュ</t>
    </rPh>
    <phoneticPr fontId="6"/>
  </si>
  <si>
    <t>機種86</t>
    <rPh sb="0" eb="2">
      <t>キシュ</t>
    </rPh>
    <phoneticPr fontId="6"/>
  </si>
  <si>
    <t>機種87</t>
    <rPh sb="0" eb="2">
      <t>キシュ</t>
    </rPh>
    <phoneticPr fontId="6"/>
  </si>
  <si>
    <t>機種88</t>
    <rPh sb="0" eb="2">
      <t>キシュ</t>
    </rPh>
    <phoneticPr fontId="6"/>
  </si>
  <si>
    <t>機種89</t>
    <rPh sb="0" eb="2">
      <t>キシュ</t>
    </rPh>
    <phoneticPr fontId="6"/>
  </si>
  <si>
    <t>機種90</t>
    <rPh sb="0" eb="2">
      <t>キシュ</t>
    </rPh>
    <phoneticPr fontId="6"/>
  </si>
  <si>
    <t>機種91</t>
    <rPh sb="0" eb="2">
      <t>キシュ</t>
    </rPh>
    <phoneticPr fontId="6"/>
  </si>
  <si>
    <t>機種92</t>
    <rPh sb="0" eb="2">
      <t>キシュ</t>
    </rPh>
    <phoneticPr fontId="6"/>
  </si>
  <si>
    <t>機種93</t>
    <rPh sb="0" eb="2">
      <t>キシュ</t>
    </rPh>
    <phoneticPr fontId="6"/>
  </si>
  <si>
    <t>機種94</t>
    <rPh sb="0" eb="2">
      <t>キシュ</t>
    </rPh>
    <phoneticPr fontId="6"/>
  </si>
  <si>
    <t>機種95</t>
    <rPh sb="0" eb="2">
      <t>キシュ</t>
    </rPh>
    <phoneticPr fontId="6"/>
  </si>
  <si>
    <t>機種96</t>
    <rPh sb="0" eb="2">
      <t>キシュ</t>
    </rPh>
    <phoneticPr fontId="6"/>
  </si>
  <si>
    <t>機種97</t>
    <rPh sb="0" eb="2">
      <t>キシュ</t>
    </rPh>
    <phoneticPr fontId="6"/>
  </si>
  <si>
    <t>機種98</t>
    <rPh sb="0" eb="2">
      <t>キシュ</t>
    </rPh>
    <phoneticPr fontId="6"/>
  </si>
  <si>
    <t>機種99</t>
    <rPh sb="0" eb="2">
      <t>キシュ</t>
    </rPh>
    <phoneticPr fontId="6"/>
  </si>
  <si>
    <t>機種100</t>
    <rPh sb="0" eb="2">
      <t>キシュ</t>
    </rPh>
    <phoneticPr fontId="6"/>
  </si>
  <si>
    <t>機種101</t>
    <rPh sb="0" eb="2">
      <t>キシュ</t>
    </rPh>
    <phoneticPr fontId="6"/>
  </si>
  <si>
    <t>機種102</t>
    <rPh sb="0" eb="2">
      <t>キシュ</t>
    </rPh>
    <phoneticPr fontId="6"/>
  </si>
  <si>
    <t>機種103</t>
    <rPh sb="0" eb="2">
      <t>キシュ</t>
    </rPh>
    <phoneticPr fontId="6"/>
  </si>
  <si>
    <t>機種104</t>
    <rPh sb="0" eb="2">
      <t>キシュ</t>
    </rPh>
    <phoneticPr fontId="6"/>
  </si>
  <si>
    <t>機種105</t>
    <rPh sb="0" eb="2">
      <t>キシュ</t>
    </rPh>
    <phoneticPr fontId="6"/>
  </si>
  <si>
    <t>機種106</t>
    <rPh sb="0" eb="2">
      <t>キシュ</t>
    </rPh>
    <phoneticPr fontId="6"/>
  </si>
  <si>
    <t>機種107</t>
    <rPh sb="0" eb="2">
      <t>キシュ</t>
    </rPh>
    <phoneticPr fontId="6"/>
  </si>
  <si>
    <t>機種108</t>
    <rPh sb="0" eb="2">
      <t>キシュ</t>
    </rPh>
    <phoneticPr fontId="6"/>
  </si>
  <si>
    <t>機種109</t>
    <rPh sb="0" eb="2">
      <t>キシュ</t>
    </rPh>
    <phoneticPr fontId="6"/>
  </si>
  <si>
    <t>機種110</t>
    <rPh sb="0" eb="2">
      <t>キシュ</t>
    </rPh>
    <phoneticPr fontId="6"/>
  </si>
  <si>
    <t>機種111</t>
    <rPh sb="0" eb="2">
      <t>キシュ</t>
    </rPh>
    <phoneticPr fontId="6"/>
  </si>
  <si>
    <t>機種112</t>
    <rPh sb="0" eb="2">
      <t>キシュ</t>
    </rPh>
    <phoneticPr fontId="6"/>
  </si>
  <si>
    <t>機種113</t>
    <rPh sb="0" eb="2">
      <t>キシュ</t>
    </rPh>
    <phoneticPr fontId="6"/>
  </si>
  <si>
    <t>機種114</t>
    <rPh sb="0" eb="2">
      <t>キシュ</t>
    </rPh>
    <phoneticPr fontId="6"/>
  </si>
  <si>
    <t>機種115</t>
    <rPh sb="0" eb="2">
      <t>キシュ</t>
    </rPh>
    <phoneticPr fontId="6"/>
  </si>
  <si>
    <t>機種116</t>
    <rPh sb="0" eb="2">
      <t>キシュ</t>
    </rPh>
    <phoneticPr fontId="6"/>
  </si>
  <si>
    <t>機種117</t>
    <rPh sb="0" eb="2">
      <t>キシュ</t>
    </rPh>
    <phoneticPr fontId="6"/>
  </si>
  <si>
    <t>機種118</t>
    <rPh sb="0" eb="2">
      <t>キシュ</t>
    </rPh>
    <phoneticPr fontId="6"/>
  </si>
  <si>
    <t>機種119</t>
    <rPh sb="0" eb="2">
      <t>キシュ</t>
    </rPh>
    <phoneticPr fontId="6"/>
  </si>
  <si>
    <t>機種120</t>
    <rPh sb="0" eb="2">
      <t>キシュ</t>
    </rPh>
    <phoneticPr fontId="6"/>
  </si>
  <si>
    <t>機種121</t>
    <rPh sb="0" eb="2">
      <t>キシュ</t>
    </rPh>
    <phoneticPr fontId="6"/>
  </si>
  <si>
    <t>機種122</t>
    <rPh sb="0" eb="2">
      <t>キシュ</t>
    </rPh>
    <phoneticPr fontId="6"/>
  </si>
  <si>
    <t>機種123</t>
    <rPh sb="0" eb="2">
      <t>キシュ</t>
    </rPh>
    <phoneticPr fontId="6"/>
  </si>
  <si>
    <t>機種124</t>
    <rPh sb="0" eb="2">
      <t>キシュ</t>
    </rPh>
    <phoneticPr fontId="6"/>
  </si>
  <si>
    <t>機種125</t>
    <rPh sb="0" eb="2">
      <t>キシュ</t>
    </rPh>
    <phoneticPr fontId="6"/>
  </si>
  <si>
    <t>機種126</t>
    <rPh sb="0" eb="2">
      <t>キシュ</t>
    </rPh>
    <phoneticPr fontId="6"/>
  </si>
  <si>
    <t>機種127</t>
    <rPh sb="0" eb="2">
      <t>キシュ</t>
    </rPh>
    <phoneticPr fontId="6"/>
  </si>
  <si>
    <t>機種128</t>
    <rPh sb="0" eb="2">
      <t>キシュ</t>
    </rPh>
    <phoneticPr fontId="6"/>
  </si>
  <si>
    <t>機種129</t>
    <rPh sb="0" eb="2">
      <t>キシュ</t>
    </rPh>
    <phoneticPr fontId="6"/>
  </si>
  <si>
    <t>機種130</t>
    <rPh sb="0" eb="2">
      <t>キシュ</t>
    </rPh>
    <phoneticPr fontId="6"/>
  </si>
  <si>
    <t>機種131</t>
    <rPh sb="0" eb="2">
      <t>キシュ</t>
    </rPh>
    <phoneticPr fontId="6"/>
  </si>
  <si>
    <t>機種132</t>
    <rPh sb="0" eb="2">
      <t>キシュ</t>
    </rPh>
    <phoneticPr fontId="6"/>
  </si>
  <si>
    <t>機種133</t>
    <rPh sb="0" eb="2">
      <t>キシュ</t>
    </rPh>
    <phoneticPr fontId="6"/>
  </si>
  <si>
    <t>機種134</t>
    <rPh sb="0" eb="2">
      <t>キシュ</t>
    </rPh>
    <phoneticPr fontId="6"/>
  </si>
  <si>
    <t>機種135</t>
    <rPh sb="0" eb="2">
      <t>キシュ</t>
    </rPh>
    <phoneticPr fontId="6"/>
  </si>
  <si>
    <t>機種136</t>
    <rPh sb="0" eb="2">
      <t>キシュ</t>
    </rPh>
    <phoneticPr fontId="6"/>
  </si>
  <si>
    <t>機種137</t>
    <rPh sb="0" eb="2">
      <t>キシュ</t>
    </rPh>
    <phoneticPr fontId="6"/>
  </si>
  <si>
    <t>機種138</t>
    <rPh sb="0" eb="2">
      <t>キシュ</t>
    </rPh>
    <phoneticPr fontId="6"/>
  </si>
  <si>
    <t>機種139</t>
    <rPh sb="0" eb="2">
      <t>キシュ</t>
    </rPh>
    <phoneticPr fontId="6"/>
  </si>
  <si>
    <t>機種140</t>
    <rPh sb="0" eb="2">
      <t>キシュ</t>
    </rPh>
    <phoneticPr fontId="6"/>
  </si>
  <si>
    <t>機種141</t>
    <rPh sb="0" eb="2">
      <t>キシュ</t>
    </rPh>
    <phoneticPr fontId="6"/>
  </si>
  <si>
    <t>機種142</t>
    <rPh sb="0" eb="2">
      <t>キシュ</t>
    </rPh>
    <phoneticPr fontId="6"/>
  </si>
  <si>
    <t>機種143</t>
    <rPh sb="0" eb="2">
      <t>キシュ</t>
    </rPh>
    <phoneticPr fontId="6"/>
  </si>
  <si>
    <t>機種144</t>
    <rPh sb="0" eb="2">
      <t>キシュ</t>
    </rPh>
    <phoneticPr fontId="6"/>
  </si>
  <si>
    <t>機種145</t>
    <rPh sb="0" eb="2">
      <t>キシュ</t>
    </rPh>
    <phoneticPr fontId="6"/>
  </si>
  <si>
    <t>機種146</t>
    <rPh sb="0" eb="2">
      <t>キシュ</t>
    </rPh>
    <phoneticPr fontId="6"/>
  </si>
  <si>
    <t>機種147</t>
    <rPh sb="0" eb="2">
      <t>キシュ</t>
    </rPh>
    <phoneticPr fontId="6"/>
  </si>
  <si>
    <t>機種148</t>
    <rPh sb="0" eb="2">
      <t>キシュ</t>
    </rPh>
    <phoneticPr fontId="6"/>
  </si>
  <si>
    <t>機種149</t>
    <rPh sb="0" eb="2">
      <t>キシュ</t>
    </rPh>
    <phoneticPr fontId="6"/>
  </si>
  <si>
    <t>機種150</t>
    <rPh sb="0" eb="2">
      <t>キシュ</t>
    </rPh>
    <phoneticPr fontId="6"/>
  </si>
  <si>
    <t>機種151</t>
    <rPh sb="0" eb="2">
      <t>キシュ</t>
    </rPh>
    <phoneticPr fontId="6"/>
  </si>
  <si>
    <t>機種152</t>
    <rPh sb="0" eb="2">
      <t>キシュ</t>
    </rPh>
    <phoneticPr fontId="6"/>
  </si>
  <si>
    <t>機種153</t>
    <rPh sb="0" eb="2">
      <t>キシュ</t>
    </rPh>
    <phoneticPr fontId="6"/>
  </si>
  <si>
    <t>機種154</t>
    <rPh sb="0" eb="2">
      <t>キシュ</t>
    </rPh>
    <phoneticPr fontId="6"/>
  </si>
  <si>
    <t>機種155</t>
    <rPh sb="0" eb="2">
      <t>キシュ</t>
    </rPh>
    <phoneticPr fontId="6"/>
  </si>
  <si>
    <t>機種156</t>
    <rPh sb="0" eb="2">
      <t>キシュ</t>
    </rPh>
    <phoneticPr fontId="6"/>
  </si>
  <si>
    <t>機種157</t>
    <rPh sb="0" eb="2">
      <t>キシュ</t>
    </rPh>
    <phoneticPr fontId="6"/>
  </si>
  <si>
    <t>機種158</t>
    <rPh sb="0" eb="2">
      <t>キシュ</t>
    </rPh>
    <phoneticPr fontId="6"/>
  </si>
  <si>
    <t>機種159</t>
    <rPh sb="0" eb="2">
      <t>キシュ</t>
    </rPh>
    <phoneticPr fontId="6"/>
  </si>
  <si>
    <t>機種160</t>
    <rPh sb="0" eb="2">
      <t>キシュ</t>
    </rPh>
    <phoneticPr fontId="6"/>
  </si>
  <si>
    <t>機種161</t>
    <rPh sb="0" eb="2">
      <t>キシュ</t>
    </rPh>
    <phoneticPr fontId="6"/>
  </si>
  <si>
    <t>機種162</t>
    <rPh sb="0" eb="2">
      <t>キシュ</t>
    </rPh>
    <phoneticPr fontId="6"/>
  </si>
  <si>
    <t>機種163</t>
    <rPh sb="0" eb="2">
      <t>キシュ</t>
    </rPh>
    <phoneticPr fontId="6"/>
  </si>
  <si>
    <t>機種164</t>
    <rPh sb="0" eb="2">
      <t>キシュ</t>
    </rPh>
    <phoneticPr fontId="6"/>
  </si>
  <si>
    <t>機種165</t>
    <rPh sb="0" eb="2">
      <t>キシュ</t>
    </rPh>
    <phoneticPr fontId="6"/>
  </si>
  <si>
    <t>機種166</t>
    <rPh sb="0" eb="2">
      <t>キシュ</t>
    </rPh>
    <phoneticPr fontId="6"/>
  </si>
  <si>
    <t>機種167</t>
    <rPh sb="0" eb="2">
      <t>キシュ</t>
    </rPh>
    <phoneticPr fontId="6"/>
  </si>
  <si>
    <t>機種168</t>
    <rPh sb="0" eb="2">
      <t>キシュ</t>
    </rPh>
    <phoneticPr fontId="6"/>
  </si>
  <si>
    <t>機種169</t>
    <rPh sb="0" eb="2">
      <t>キシュ</t>
    </rPh>
    <phoneticPr fontId="6"/>
  </si>
  <si>
    <t>機種170</t>
    <rPh sb="0" eb="2">
      <t>キシュ</t>
    </rPh>
    <phoneticPr fontId="6"/>
  </si>
  <si>
    <t>機種171</t>
    <rPh sb="0" eb="2">
      <t>キシュ</t>
    </rPh>
    <phoneticPr fontId="6"/>
  </si>
  <si>
    <t>機種172</t>
    <rPh sb="0" eb="2">
      <t>キシュ</t>
    </rPh>
    <phoneticPr fontId="6"/>
  </si>
  <si>
    <t>機種173</t>
    <rPh sb="0" eb="2">
      <t>キシュ</t>
    </rPh>
    <phoneticPr fontId="6"/>
  </si>
  <si>
    <t>機種174</t>
    <rPh sb="0" eb="2">
      <t>キシュ</t>
    </rPh>
    <phoneticPr fontId="6"/>
  </si>
  <si>
    <t>機種175</t>
    <rPh sb="0" eb="2">
      <t>キシュ</t>
    </rPh>
    <phoneticPr fontId="6"/>
  </si>
  <si>
    <t>機種176</t>
    <rPh sb="0" eb="2">
      <t>キシュ</t>
    </rPh>
    <phoneticPr fontId="6"/>
  </si>
  <si>
    <t>機種177</t>
    <rPh sb="0" eb="2">
      <t>キシュ</t>
    </rPh>
    <phoneticPr fontId="6"/>
  </si>
  <si>
    <t>機種178</t>
    <rPh sb="0" eb="2">
      <t>キシュ</t>
    </rPh>
    <phoneticPr fontId="6"/>
  </si>
  <si>
    <t>機種179</t>
    <rPh sb="0" eb="2">
      <t>キシュ</t>
    </rPh>
    <phoneticPr fontId="6"/>
  </si>
  <si>
    <t>機種180</t>
    <rPh sb="0" eb="2">
      <t>キシュ</t>
    </rPh>
    <phoneticPr fontId="6"/>
  </si>
  <si>
    <t>機種181</t>
    <rPh sb="0" eb="2">
      <t>キシュ</t>
    </rPh>
    <phoneticPr fontId="6"/>
  </si>
  <si>
    <t>機種182</t>
    <rPh sb="0" eb="2">
      <t>キシュ</t>
    </rPh>
    <phoneticPr fontId="6"/>
  </si>
  <si>
    <t>機種183</t>
    <rPh sb="0" eb="2">
      <t>キシュ</t>
    </rPh>
    <phoneticPr fontId="6"/>
  </si>
  <si>
    <t>機種184</t>
    <rPh sb="0" eb="2">
      <t>キシュ</t>
    </rPh>
    <phoneticPr fontId="6"/>
  </si>
  <si>
    <t>機種185</t>
    <rPh sb="0" eb="2">
      <t>キシュ</t>
    </rPh>
    <phoneticPr fontId="6"/>
  </si>
  <si>
    <t>機種186</t>
    <rPh sb="0" eb="2">
      <t>キシュ</t>
    </rPh>
    <phoneticPr fontId="6"/>
  </si>
  <si>
    <t>機種187</t>
    <rPh sb="0" eb="2">
      <t>キシュ</t>
    </rPh>
    <phoneticPr fontId="6"/>
  </si>
  <si>
    <t>機種188</t>
    <rPh sb="0" eb="2">
      <t>キシュ</t>
    </rPh>
    <phoneticPr fontId="6"/>
  </si>
  <si>
    <t>機種189</t>
    <rPh sb="0" eb="2">
      <t>キシュ</t>
    </rPh>
    <phoneticPr fontId="6"/>
  </si>
  <si>
    <t>機種190</t>
    <rPh sb="0" eb="2">
      <t>キシュ</t>
    </rPh>
    <phoneticPr fontId="6"/>
  </si>
  <si>
    <t>機種191</t>
    <rPh sb="0" eb="2">
      <t>キシュ</t>
    </rPh>
    <phoneticPr fontId="6"/>
  </si>
  <si>
    <t>機種192</t>
    <rPh sb="0" eb="2">
      <t>キシュ</t>
    </rPh>
    <phoneticPr fontId="6"/>
  </si>
  <si>
    <t>機種193</t>
    <rPh sb="0" eb="2">
      <t>キシュ</t>
    </rPh>
    <phoneticPr fontId="6"/>
  </si>
  <si>
    <t>機種194</t>
    <rPh sb="0" eb="2">
      <t>キシュ</t>
    </rPh>
    <phoneticPr fontId="6"/>
  </si>
  <si>
    <t>機種195</t>
    <rPh sb="0" eb="2">
      <t>キシュ</t>
    </rPh>
    <phoneticPr fontId="6"/>
  </si>
  <si>
    <t>機種196</t>
    <rPh sb="0" eb="2">
      <t>キシュ</t>
    </rPh>
    <phoneticPr fontId="6"/>
  </si>
  <si>
    <t>機種197</t>
    <rPh sb="0" eb="2">
      <t>キシュ</t>
    </rPh>
    <phoneticPr fontId="6"/>
  </si>
  <si>
    <t>機種198</t>
    <rPh sb="0" eb="2">
      <t>キシュ</t>
    </rPh>
    <phoneticPr fontId="6"/>
  </si>
  <si>
    <t>機種199</t>
    <rPh sb="0" eb="2">
      <t>キシュ</t>
    </rPh>
    <phoneticPr fontId="6"/>
  </si>
  <si>
    <t>機種200</t>
    <rPh sb="0" eb="2">
      <t>キシュ</t>
    </rPh>
    <phoneticPr fontId="6"/>
  </si>
  <si>
    <t>機種201</t>
    <rPh sb="0" eb="2">
      <t>キシュ</t>
    </rPh>
    <phoneticPr fontId="6"/>
  </si>
  <si>
    <t>機種202</t>
    <rPh sb="0" eb="2">
      <t>キシュ</t>
    </rPh>
    <phoneticPr fontId="6"/>
  </si>
  <si>
    <t>機種203</t>
    <rPh sb="0" eb="2">
      <t>キシュ</t>
    </rPh>
    <phoneticPr fontId="6"/>
  </si>
  <si>
    <t>機種204</t>
    <rPh sb="0" eb="2">
      <t>キシュ</t>
    </rPh>
    <phoneticPr fontId="6"/>
  </si>
  <si>
    <t>機種205</t>
    <rPh sb="0" eb="2">
      <t>キシュ</t>
    </rPh>
    <phoneticPr fontId="6"/>
  </si>
  <si>
    <t>機種206</t>
    <rPh sb="0" eb="2">
      <t>キシュ</t>
    </rPh>
    <phoneticPr fontId="6"/>
  </si>
  <si>
    <t>機種207</t>
    <rPh sb="0" eb="2">
      <t>キシュ</t>
    </rPh>
    <phoneticPr fontId="6"/>
  </si>
  <si>
    <t>機種208</t>
    <rPh sb="0" eb="2">
      <t>キシュ</t>
    </rPh>
    <phoneticPr fontId="6"/>
  </si>
  <si>
    <t>機種209</t>
    <rPh sb="0" eb="2">
      <t>キシュ</t>
    </rPh>
    <phoneticPr fontId="6"/>
  </si>
  <si>
    <t>機種210</t>
    <rPh sb="0" eb="2">
      <t>キシュ</t>
    </rPh>
    <phoneticPr fontId="6"/>
  </si>
  <si>
    <t>機種211</t>
    <rPh sb="0" eb="2">
      <t>キシュ</t>
    </rPh>
    <phoneticPr fontId="6"/>
  </si>
  <si>
    <t>機種212</t>
    <rPh sb="0" eb="2">
      <t>キシュ</t>
    </rPh>
    <phoneticPr fontId="6"/>
  </si>
  <si>
    <t>機種213</t>
    <rPh sb="0" eb="2">
      <t>キシュ</t>
    </rPh>
    <phoneticPr fontId="6"/>
  </si>
  <si>
    <t>機種214</t>
    <rPh sb="0" eb="2">
      <t>キシュ</t>
    </rPh>
    <phoneticPr fontId="6"/>
  </si>
  <si>
    <t>機種215</t>
    <rPh sb="0" eb="2">
      <t>キシュ</t>
    </rPh>
    <phoneticPr fontId="6"/>
  </si>
  <si>
    <t>機種216</t>
    <rPh sb="0" eb="2">
      <t>キシュ</t>
    </rPh>
    <phoneticPr fontId="6"/>
  </si>
  <si>
    <t>機種217</t>
    <rPh sb="0" eb="2">
      <t>キシュ</t>
    </rPh>
    <phoneticPr fontId="6"/>
  </si>
  <si>
    <t>機種218</t>
    <rPh sb="0" eb="2">
      <t>キシュ</t>
    </rPh>
    <phoneticPr fontId="6"/>
  </si>
  <si>
    <t>機種219</t>
    <rPh sb="0" eb="2">
      <t>キシュ</t>
    </rPh>
    <phoneticPr fontId="6"/>
  </si>
  <si>
    <t>機種220</t>
    <rPh sb="0" eb="2">
      <t>キシュ</t>
    </rPh>
    <phoneticPr fontId="6"/>
  </si>
  <si>
    <t>機種221</t>
    <rPh sb="0" eb="2">
      <t>キシュ</t>
    </rPh>
    <phoneticPr fontId="6"/>
  </si>
  <si>
    <t>機種222</t>
    <rPh sb="0" eb="2">
      <t>キシュ</t>
    </rPh>
    <phoneticPr fontId="6"/>
  </si>
  <si>
    <t>機種223</t>
    <rPh sb="0" eb="2">
      <t>キシュ</t>
    </rPh>
    <phoneticPr fontId="6"/>
  </si>
  <si>
    <t>機種224</t>
    <rPh sb="0" eb="2">
      <t>キシュ</t>
    </rPh>
    <phoneticPr fontId="6"/>
  </si>
  <si>
    <t>機種225</t>
    <rPh sb="0" eb="2">
      <t>キシュ</t>
    </rPh>
    <phoneticPr fontId="6"/>
  </si>
  <si>
    <t>機種226</t>
    <rPh sb="0" eb="2">
      <t>キシュ</t>
    </rPh>
    <phoneticPr fontId="6"/>
  </si>
  <si>
    <t>機種227</t>
    <rPh sb="0" eb="2">
      <t>キシュ</t>
    </rPh>
    <phoneticPr fontId="6"/>
  </si>
  <si>
    <t>機種228</t>
    <rPh sb="0" eb="2">
      <t>キシュ</t>
    </rPh>
    <phoneticPr fontId="6"/>
  </si>
  <si>
    <t>機種229</t>
    <rPh sb="0" eb="2">
      <t>キシュ</t>
    </rPh>
    <phoneticPr fontId="6"/>
  </si>
  <si>
    <t>機種230</t>
    <rPh sb="0" eb="2">
      <t>キシュ</t>
    </rPh>
    <phoneticPr fontId="6"/>
  </si>
  <si>
    <t>機種231</t>
    <rPh sb="0" eb="2">
      <t>キシュ</t>
    </rPh>
    <phoneticPr fontId="6"/>
  </si>
  <si>
    <t>機種232</t>
    <rPh sb="0" eb="2">
      <t>キシュ</t>
    </rPh>
    <phoneticPr fontId="6"/>
  </si>
  <si>
    <t>機種233</t>
    <rPh sb="0" eb="2">
      <t>キシュ</t>
    </rPh>
    <phoneticPr fontId="6"/>
  </si>
  <si>
    <t>機種234</t>
    <rPh sb="0" eb="2">
      <t>キシュ</t>
    </rPh>
    <phoneticPr fontId="6"/>
  </si>
  <si>
    <t>機種235</t>
    <rPh sb="0" eb="2">
      <t>キシュ</t>
    </rPh>
    <phoneticPr fontId="6"/>
  </si>
  <si>
    <t>機種236</t>
    <rPh sb="0" eb="2">
      <t>キシュ</t>
    </rPh>
    <phoneticPr fontId="6"/>
  </si>
  <si>
    <t>機種237</t>
    <rPh sb="0" eb="2">
      <t>キシュ</t>
    </rPh>
    <phoneticPr fontId="6"/>
  </si>
  <si>
    <t>機種238</t>
    <rPh sb="0" eb="2">
      <t>キシュ</t>
    </rPh>
    <phoneticPr fontId="6"/>
  </si>
  <si>
    <t>機種239</t>
    <rPh sb="0" eb="2">
      <t>キシュ</t>
    </rPh>
    <phoneticPr fontId="6"/>
  </si>
  <si>
    <t>機種240</t>
    <rPh sb="0" eb="2">
      <t>キシュ</t>
    </rPh>
    <phoneticPr fontId="6"/>
  </si>
  <si>
    <t>機種241</t>
    <rPh sb="0" eb="2">
      <t>キシュ</t>
    </rPh>
    <phoneticPr fontId="6"/>
  </si>
  <si>
    <t>機種242</t>
    <rPh sb="0" eb="2">
      <t>キシュ</t>
    </rPh>
    <phoneticPr fontId="6"/>
  </si>
  <si>
    <t>機種243</t>
    <rPh sb="0" eb="2">
      <t>キシュ</t>
    </rPh>
    <phoneticPr fontId="6"/>
  </si>
  <si>
    <t>機種244</t>
    <rPh sb="0" eb="2">
      <t>キシュ</t>
    </rPh>
    <phoneticPr fontId="6"/>
  </si>
  <si>
    <t>機種245</t>
    <rPh sb="0" eb="2">
      <t>キシュ</t>
    </rPh>
    <phoneticPr fontId="6"/>
  </si>
  <si>
    <t>機種246</t>
    <rPh sb="0" eb="2">
      <t>キシュ</t>
    </rPh>
    <phoneticPr fontId="6"/>
  </si>
  <si>
    <t>機種247</t>
    <rPh sb="0" eb="2">
      <t>キシュ</t>
    </rPh>
    <phoneticPr fontId="6"/>
  </si>
  <si>
    <t>機種248</t>
    <rPh sb="0" eb="2">
      <t>キシュ</t>
    </rPh>
    <phoneticPr fontId="6"/>
  </si>
  <si>
    <t>機種249</t>
    <rPh sb="0" eb="2">
      <t>キシュ</t>
    </rPh>
    <phoneticPr fontId="6"/>
  </si>
  <si>
    <t>機種250</t>
    <rPh sb="0" eb="2">
      <t>キシュ</t>
    </rPh>
    <phoneticPr fontId="6"/>
  </si>
  <si>
    <t>機種251</t>
    <rPh sb="0" eb="2">
      <t>キシュ</t>
    </rPh>
    <phoneticPr fontId="6"/>
  </si>
  <si>
    <t>機種252</t>
    <rPh sb="0" eb="2">
      <t>キシュ</t>
    </rPh>
    <phoneticPr fontId="6"/>
  </si>
  <si>
    <t>機種253</t>
    <rPh sb="0" eb="2">
      <t>キシュ</t>
    </rPh>
    <phoneticPr fontId="6"/>
  </si>
  <si>
    <t>機種254</t>
    <rPh sb="0" eb="2">
      <t>キシュ</t>
    </rPh>
    <phoneticPr fontId="6"/>
  </si>
  <si>
    <t>機種255</t>
    <rPh sb="0" eb="2">
      <t>キシュ</t>
    </rPh>
    <phoneticPr fontId="6"/>
  </si>
  <si>
    <t>機種256</t>
    <rPh sb="0" eb="2">
      <t>キシュ</t>
    </rPh>
    <phoneticPr fontId="6"/>
  </si>
  <si>
    <t>機種257</t>
    <rPh sb="0" eb="2">
      <t>キシュ</t>
    </rPh>
    <phoneticPr fontId="6"/>
  </si>
  <si>
    <t>機種258</t>
    <rPh sb="0" eb="2">
      <t>キシュ</t>
    </rPh>
    <phoneticPr fontId="6"/>
  </si>
  <si>
    <t>機種259</t>
    <rPh sb="0" eb="2">
      <t>キシュ</t>
    </rPh>
    <phoneticPr fontId="6"/>
  </si>
  <si>
    <t>機種260</t>
    <rPh sb="0" eb="2">
      <t>キシュ</t>
    </rPh>
    <phoneticPr fontId="6"/>
  </si>
  <si>
    <t>機種261</t>
    <rPh sb="0" eb="2">
      <t>キシュ</t>
    </rPh>
    <phoneticPr fontId="6"/>
  </si>
  <si>
    <t>機種262</t>
    <rPh sb="0" eb="2">
      <t>キシュ</t>
    </rPh>
    <phoneticPr fontId="6"/>
  </si>
  <si>
    <t>機種263</t>
    <rPh sb="0" eb="2">
      <t>キシュ</t>
    </rPh>
    <phoneticPr fontId="6"/>
  </si>
  <si>
    <t>機種264</t>
    <rPh sb="0" eb="2">
      <t>キシュ</t>
    </rPh>
    <phoneticPr fontId="6"/>
  </si>
  <si>
    <t>機種265</t>
    <rPh sb="0" eb="2">
      <t>キシュ</t>
    </rPh>
    <phoneticPr fontId="6"/>
  </si>
  <si>
    <t>機種266</t>
    <rPh sb="0" eb="2">
      <t>キシュ</t>
    </rPh>
    <phoneticPr fontId="6"/>
  </si>
  <si>
    <t>機種267</t>
    <rPh sb="0" eb="2">
      <t>キシュ</t>
    </rPh>
    <phoneticPr fontId="6"/>
  </si>
  <si>
    <t>機種268</t>
    <rPh sb="0" eb="2">
      <t>キシュ</t>
    </rPh>
    <phoneticPr fontId="6"/>
  </si>
  <si>
    <t>機種269</t>
    <rPh sb="0" eb="2">
      <t>キシュ</t>
    </rPh>
    <phoneticPr fontId="6"/>
  </si>
  <si>
    <t>機種270</t>
    <rPh sb="0" eb="2">
      <t>キシュ</t>
    </rPh>
    <phoneticPr fontId="6"/>
  </si>
  <si>
    <t>機種271</t>
    <rPh sb="0" eb="2">
      <t>キシュ</t>
    </rPh>
    <phoneticPr fontId="6"/>
  </si>
  <si>
    <t>機種272</t>
    <rPh sb="0" eb="2">
      <t>キシュ</t>
    </rPh>
    <phoneticPr fontId="6"/>
  </si>
  <si>
    <t>機種273</t>
    <rPh sb="0" eb="2">
      <t>キシュ</t>
    </rPh>
    <phoneticPr fontId="6"/>
  </si>
  <si>
    <t>機種274</t>
    <rPh sb="0" eb="2">
      <t>キシュ</t>
    </rPh>
    <phoneticPr fontId="6"/>
  </si>
  <si>
    <t>機種275</t>
    <rPh sb="0" eb="2">
      <t>キシュ</t>
    </rPh>
    <phoneticPr fontId="6"/>
  </si>
  <si>
    <t>機種276</t>
    <rPh sb="0" eb="2">
      <t>キシュ</t>
    </rPh>
    <phoneticPr fontId="6"/>
  </si>
  <si>
    <t>機種277</t>
    <rPh sb="0" eb="2">
      <t>キシュ</t>
    </rPh>
    <phoneticPr fontId="6"/>
  </si>
  <si>
    <t>機種278</t>
    <rPh sb="0" eb="2">
      <t>キシュ</t>
    </rPh>
    <phoneticPr fontId="6"/>
  </si>
  <si>
    <t>機種279</t>
    <rPh sb="0" eb="2">
      <t>キシュ</t>
    </rPh>
    <phoneticPr fontId="6"/>
  </si>
  <si>
    <t>機種280</t>
    <rPh sb="0" eb="2">
      <t>キシュ</t>
    </rPh>
    <phoneticPr fontId="6"/>
  </si>
  <si>
    <t>機種281</t>
    <rPh sb="0" eb="2">
      <t>キシュ</t>
    </rPh>
    <phoneticPr fontId="6"/>
  </si>
  <si>
    <t>機種282</t>
    <rPh sb="0" eb="2">
      <t>キシュ</t>
    </rPh>
    <phoneticPr fontId="6"/>
  </si>
  <si>
    <t>機種283</t>
    <rPh sb="0" eb="2">
      <t>キシュ</t>
    </rPh>
    <phoneticPr fontId="6"/>
  </si>
  <si>
    <t>機種284</t>
    <rPh sb="0" eb="2">
      <t>キシュ</t>
    </rPh>
    <phoneticPr fontId="6"/>
  </si>
  <si>
    <t>機種285</t>
    <rPh sb="0" eb="2">
      <t>キシュ</t>
    </rPh>
    <phoneticPr fontId="6"/>
  </si>
  <si>
    <t>機種286</t>
    <rPh sb="0" eb="2">
      <t>キシュ</t>
    </rPh>
    <phoneticPr fontId="6"/>
  </si>
  <si>
    <t>機種287</t>
    <rPh sb="0" eb="2">
      <t>キシュ</t>
    </rPh>
    <phoneticPr fontId="6"/>
  </si>
  <si>
    <t>機種288</t>
    <rPh sb="0" eb="2">
      <t>キシュ</t>
    </rPh>
    <phoneticPr fontId="6"/>
  </si>
  <si>
    <t>機種289</t>
    <rPh sb="0" eb="2">
      <t>キシュ</t>
    </rPh>
    <phoneticPr fontId="6"/>
  </si>
  <si>
    <t>機種290</t>
    <rPh sb="0" eb="2">
      <t>キシュ</t>
    </rPh>
    <phoneticPr fontId="6"/>
  </si>
  <si>
    <t>機種291</t>
    <rPh sb="0" eb="2">
      <t>キシュ</t>
    </rPh>
    <phoneticPr fontId="6"/>
  </si>
  <si>
    <t>機種292</t>
    <rPh sb="0" eb="2">
      <t>キシュ</t>
    </rPh>
    <phoneticPr fontId="6"/>
  </si>
  <si>
    <t>機種293</t>
    <rPh sb="0" eb="2">
      <t>キシュ</t>
    </rPh>
    <phoneticPr fontId="6"/>
  </si>
  <si>
    <t>機種294</t>
    <rPh sb="0" eb="2">
      <t>キシュ</t>
    </rPh>
    <phoneticPr fontId="6"/>
  </si>
  <si>
    <t>機種295</t>
    <rPh sb="0" eb="2">
      <t>キシュ</t>
    </rPh>
    <phoneticPr fontId="6"/>
  </si>
  <si>
    <t>機種296</t>
    <rPh sb="0" eb="2">
      <t>キシュ</t>
    </rPh>
    <phoneticPr fontId="6"/>
  </si>
  <si>
    <t>機種297</t>
    <rPh sb="0" eb="2">
      <t>キシュ</t>
    </rPh>
    <phoneticPr fontId="6"/>
  </si>
  <si>
    <t>機種298</t>
    <rPh sb="0" eb="2">
      <t>キシュ</t>
    </rPh>
    <phoneticPr fontId="6"/>
  </si>
  <si>
    <t>機種299</t>
    <rPh sb="0" eb="2">
      <t>キシュ</t>
    </rPh>
    <phoneticPr fontId="6"/>
  </si>
  <si>
    <t>機種300</t>
    <rPh sb="0" eb="2">
      <t>キシュ</t>
    </rPh>
    <phoneticPr fontId="6"/>
  </si>
  <si>
    <t>機種301</t>
    <rPh sb="0" eb="2">
      <t>キシュ</t>
    </rPh>
    <phoneticPr fontId="6"/>
  </si>
  <si>
    <t>機種302</t>
    <rPh sb="0" eb="2">
      <t>キシュ</t>
    </rPh>
    <phoneticPr fontId="6"/>
  </si>
  <si>
    <t>機種303</t>
    <rPh sb="0" eb="2">
      <t>キシュ</t>
    </rPh>
    <phoneticPr fontId="6"/>
  </si>
  <si>
    <t>機種304</t>
    <rPh sb="0" eb="2">
      <t>キシュ</t>
    </rPh>
    <phoneticPr fontId="6"/>
  </si>
  <si>
    <t>機種305</t>
    <rPh sb="0" eb="2">
      <t>キシュ</t>
    </rPh>
    <phoneticPr fontId="6"/>
  </si>
  <si>
    <t>機種306</t>
    <rPh sb="0" eb="2">
      <t>キシュ</t>
    </rPh>
    <phoneticPr fontId="6"/>
  </si>
  <si>
    <t>機種307</t>
    <rPh sb="0" eb="2">
      <t>キシュ</t>
    </rPh>
    <phoneticPr fontId="6"/>
  </si>
  <si>
    <t>機種308</t>
    <rPh sb="0" eb="2">
      <t>キシュ</t>
    </rPh>
    <phoneticPr fontId="6"/>
  </si>
  <si>
    <t>機種309</t>
    <rPh sb="0" eb="2">
      <t>キシュ</t>
    </rPh>
    <phoneticPr fontId="6"/>
  </si>
  <si>
    <t>機種310</t>
    <rPh sb="0" eb="2">
      <t>キシュ</t>
    </rPh>
    <phoneticPr fontId="6"/>
  </si>
  <si>
    <t>機種311</t>
    <rPh sb="0" eb="2">
      <t>キシュ</t>
    </rPh>
    <phoneticPr fontId="6"/>
  </si>
  <si>
    <t>機種312</t>
    <rPh sb="0" eb="2">
      <t>キシュ</t>
    </rPh>
    <phoneticPr fontId="6"/>
  </si>
  <si>
    <t>機種313</t>
    <rPh sb="0" eb="2">
      <t>キシュ</t>
    </rPh>
    <phoneticPr fontId="6"/>
  </si>
  <si>
    <t>機種314</t>
    <rPh sb="0" eb="2">
      <t>キシュ</t>
    </rPh>
    <phoneticPr fontId="6"/>
  </si>
  <si>
    <t>機種315</t>
    <rPh sb="0" eb="2">
      <t>キシュ</t>
    </rPh>
    <phoneticPr fontId="6"/>
  </si>
  <si>
    <t>機種316</t>
    <rPh sb="0" eb="2">
      <t>キシュ</t>
    </rPh>
    <phoneticPr fontId="6"/>
  </si>
  <si>
    <t>機種317</t>
    <rPh sb="0" eb="2">
      <t>キシュ</t>
    </rPh>
    <phoneticPr fontId="6"/>
  </si>
  <si>
    <t>機種318</t>
    <rPh sb="0" eb="2">
      <t>キシュ</t>
    </rPh>
    <phoneticPr fontId="6"/>
  </si>
  <si>
    <t>機種319</t>
    <rPh sb="0" eb="2">
      <t>キシュ</t>
    </rPh>
    <phoneticPr fontId="6"/>
  </si>
  <si>
    <t>機種320</t>
    <rPh sb="0" eb="2">
      <t>キシュ</t>
    </rPh>
    <phoneticPr fontId="6"/>
  </si>
  <si>
    <t>機種321</t>
    <rPh sb="0" eb="2">
      <t>キシュ</t>
    </rPh>
    <phoneticPr fontId="6"/>
  </si>
  <si>
    <t>機種322</t>
    <rPh sb="0" eb="2">
      <t>キシュ</t>
    </rPh>
    <phoneticPr fontId="6"/>
  </si>
  <si>
    <t>機種323</t>
    <rPh sb="0" eb="2">
      <t>キシュ</t>
    </rPh>
    <phoneticPr fontId="6"/>
  </si>
  <si>
    <t>機種324</t>
    <rPh sb="0" eb="2">
      <t>キシュ</t>
    </rPh>
    <phoneticPr fontId="6"/>
  </si>
  <si>
    <t>機種325</t>
    <rPh sb="0" eb="2">
      <t>キシュ</t>
    </rPh>
    <phoneticPr fontId="6"/>
  </si>
  <si>
    <t>機種326</t>
    <rPh sb="0" eb="2">
      <t>キシュ</t>
    </rPh>
    <phoneticPr fontId="6"/>
  </si>
  <si>
    <t>機種327</t>
    <rPh sb="0" eb="2">
      <t>キシュ</t>
    </rPh>
    <phoneticPr fontId="6"/>
  </si>
  <si>
    <t>機種328</t>
    <rPh sb="0" eb="2">
      <t>キシュ</t>
    </rPh>
    <phoneticPr fontId="6"/>
  </si>
  <si>
    <t>機種329</t>
    <rPh sb="0" eb="2">
      <t>キシュ</t>
    </rPh>
    <phoneticPr fontId="6"/>
  </si>
  <si>
    <t>機種330</t>
    <rPh sb="0" eb="2">
      <t>キシュ</t>
    </rPh>
    <phoneticPr fontId="6"/>
  </si>
  <si>
    <t>機種331</t>
    <rPh sb="0" eb="2">
      <t>キシュ</t>
    </rPh>
    <phoneticPr fontId="6"/>
  </si>
  <si>
    <t>機種332</t>
    <rPh sb="0" eb="2">
      <t>キシュ</t>
    </rPh>
    <phoneticPr fontId="6"/>
  </si>
  <si>
    <t>機種333</t>
    <rPh sb="0" eb="2">
      <t>キシュ</t>
    </rPh>
    <phoneticPr fontId="6"/>
  </si>
  <si>
    <t>機種334</t>
    <rPh sb="0" eb="2">
      <t>キシュ</t>
    </rPh>
    <phoneticPr fontId="6"/>
  </si>
  <si>
    <t>機種335</t>
    <rPh sb="0" eb="2">
      <t>キシュ</t>
    </rPh>
    <phoneticPr fontId="6"/>
  </si>
  <si>
    <t>機種336</t>
    <rPh sb="0" eb="2">
      <t>キシュ</t>
    </rPh>
    <phoneticPr fontId="6"/>
  </si>
  <si>
    <t>機種337</t>
    <rPh sb="0" eb="2">
      <t>キシュ</t>
    </rPh>
    <phoneticPr fontId="6"/>
  </si>
  <si>
    <t>機種338</t>
    <rPh sb="0" eb="2">
      <t>キシュ</t>
    </rPh>
    <phoneticPr fontId="6"/>
  </si>
  <si>
    <t>機種339</t>
    <rPh sb="0" eb="2">
      <t>キシュ</t>
    </rPh>
    <phoneticPr fontId="6"/>
  </si>
  <si>
    <t>機種340</t>
    <rPh sb="0" eb="2">
      <t>キシュ</t>
    </rPh>
    <phoneticPr fontId="6"/>
  </si>
  <si>
    <t>機種341</t>
    <rPh sb="0" eb="2">
      <t>キシュ</t>
    </rPh>
    <phoneticPr fontId="6"/>
  </si>
  <si>
    <t>機種342</t>
    <rPh sb="0" eb="2">
      <t>キシュ</t>
    </rPh>
    <phoneticPr fontId="6"/>
  </si>
  <si>
    <t>機種343</t>
    <rPh sb="0" eb="2">
      <t>キシュ</t>
    </rPh>
    <phoneticPr fontId="6"/>
  </si>
  <si>
    <t>機種344</t>
    <rPh sb="0" eb="2">
      <t>キシュ</t>
    </rPh>
    <phoneticPr fontId="6"/>
  </si>
  <si>
    <t>機種345</t>
    <rPh sb="0" eb="2">
      <t>キシュ</t>
    </rPh>
    <phoneticPr fontId="6"/>
  </si>
  <si>
    <t>機種346</t>
    <rPh sb="0" eb="2">
      <t>キシュ</t>
    </rPh>
    <phoneticPr fontId="6"/>
  </si>
  <si>
    <t>機種347</t>
    <rPh sb="0" eb="2">
      <t>キシュ</t>
    </rPh>
    <phoneticPr fontId="6"/>
  </si>
  <si>
    <t>機種348</t>
    <rPh sb="0" eb="2">
      <t>キシュ</t>
    </rPh>
    <phoneticPr fontId="6"/>
  </si>
  <si>
    <t>機種349</t>
    <rPh sb="0" eb="2">
      <t>キシュ</t>
    </rPh>
    <phoneticPr fontId="6"/>
  </si>
  <si>
    <t>機種350</t>
    <rPh sb="0" eb="2">
      <t>キシュ</t>
    </rPh>
    <phoneticPr fontId="6"/>
  </si>
  <si>
    <t>機種351</t>
    <rPh sb="0" eb="2">
      <t>キシュ</t>
    </rPh>
    <phoneticPr fontId="6"/>
  </si>
  <si>
    <t>機種352</t>
    <rPh sb="0" eb="2">
      <t>キシュ</t>
    </rPh>
    <phoneticPr fontId="6"/>
  </si>
  <si>
    <t>機種353</t>
    <rPh sb="0" eb="2">
      <t>キシュ</t>
    </rPh>
    <phoneticPr fontId="6"/>
  </si>
  <si>
    <t>機種354</t>
    <rPh sb="0" eb="2">
      <t>キシュ</t>
    </rPh>
    <phoneticPr fontId="6"/>
  </si>
  <si>
    <t>機種355</t>
    <rPh sb="0" eb="2">
      <t>キシュ</t>
    </rPh>
    <phoneticPr fontId="6"/>
  </si>
  <si>
    <t>機種356</t>
    <rPh sb="0" eb="2">
      <t>キシュ</t>
    </rPh>
    <phoneticPr fontId="6"/>
  </si>
  <si>
    <t>機種357</t>
    <rPh sb="0" eb="2">
      <t>キシュ</t>
    </rPh>
    <phoneticPr fontId="6"/>
  </si>
  <si>
    <t>機種358</t>
    <rPh sb="0" eb="2">
      <t>キシュ</t>
    </rPh>
    <phoneticPr fontId="6"/>
  </si>
  <si>
    <t>機種359</t>
    <rPh sb="0" eb="2">
      <t>キシュ</t>
    </rPh>
    <phoneticPr fontId="6"/>
  </si>
  <si>
    <t>機種360</t>
    <rPh sb="0" eb="2">
      <t>キシュ</t>
    </rPh>
    <phoneticPr fontId="6"/>
  </si>
  <si>
    <t>機種361</t>
    <rPh sb="0" eb="2">
      <t>キシュ</t>
    </rPh>
    <phoneticPr fontId="6"/>
  </si>
  <si>
    <t>機種362</t>
    <rPh sb="0" eb="2">
      <t>キシュ</t>
    </rPh>
    <phoneticPr fontId="6"/>
  </si>
  <si>
    <t>機種363</t>
    <rPh sb="0" eb="2">
      <t>キシュ</t>
    </rPh>
    <phoneticPr fontId="6"/>
  </si>
  <si>
    <t>機種364</t>
    <rPh sb="0" eb="2">
      <t>キシュ</t>
    </rPh>
    <phoneticPr fontId="6"/>
  </si>
  <si>
    <t>機種365</t>
    <rPh sb="0" eb="2">
      <t>キシュ</t>
    </rPh>
    <phoneticPr fontId="6"/>
  </si>
  <si>
    <t>機種366</t>
    <rPh sb="0" eb="2">
      <t>キシュ</t>
    </rPh>
    <phoneticPr fontId="6"/>
  </si>
  <si>
    <t>機種367</t>
    <rPh sb="0" eb="2">
      <t>キシュ</t>
    </rPh>
    <phoneticPr fontId="6"/>
  </si>
  <si>
    <t>機種368</t>
    <rPh sb="0" eb="2">
      <t>キシュ</t>
    </rPh>
    <phoneticPr fontId="6"/>
  </si>
  <si>
    <t>機種369</t>
    <rPh sb="0" eb="2">
      <t>キシュ</t>
    </rPh>
    <phoneticPr fontId="6"/>
  </si>
  <si>
    <t>機種370</t>
    <rPh sb="0" eb="2">
      <t>キシュ</t>
    </rPh>
    <phoneticPr fontId="6"/>
  </si>
  <si>
    <t>機種371</t>
    <rPh sb="0" eb="2">
      <t>キシュ</t>
    </rPh>
    <phoneticPr fontId="6"/>
  </si>
  <si>
    <t>機種372</t>
    <rPh sb="0" eb="2">
      <t>キシュ</t>
    </rPh>
    <phoneticPr fontId="6"/>
  </si>
  <si>
    <t>機種373</t>
    <rPh sb="0" eb="2">
      <t>キシュ</t>
    </rPh>
    <phoneticPr fontId="6"/>
  </si>
  <si>
    <t>機種374</t>
    <rPh sb="0" eb="2">
      <t>キシュ</t>
    </rPh>
    <phoneticPr fontId="6"/>
  </si>
  <si>
    <t>機種375</t>
    <rPh sb="0" eb="2">
      <t>キシュ</t>
    </rPh>
    <phoneticPr fontId="6"/>
  </si>
  <si>
    <t>機種376</t>
    <rPh sb="0" eb="2">
      <t>キシュ</t>
    </rPh>
    <phoneticPr fontId="6"/>
  </si>
  <si>
    <t>機種377</t>
    <rPh sb="0" eb="2">
      <t>キシュ</t>
    </rPh>
    <phoneticPr fontId="6"/>
  </si>
  <si>
    <t>機種378</t>
    <rPh sb="0" eb="2">
      <t>キシュ</t>
    </rPh>
    <phoneticPr fontId="6"/>
  </si>
  <si>
    <t>機種379</t>
    <rPh sb="0" eb="2">
      <t>キシュ</t>
    </rPh>
    <phoneticPr fontId="6"/>
  </si>
  <si>
    <t>機種380</t>
    <rPh sb="0" eb="2">
      <t>キシュ</t>
    </rPh>
    <phoneticPr fontId="6"/>
  </si>
  <si>
    <t>機種381</t>
    <rPh sb="0" eb="2">
      <t>キシュ</t>
    </rPh>
    <phoneticPr fontId="6"/>
  </si>
  <si>
    <t>機種382</t>
    <rPh sb="0" eb="2">
      <t>キシュ</t>
    </rPh>
    <phoneticPr fontId="6"/>
  </si>
  <si>
    <t>機種383</t>
    <rPh sb="0" eb="2">
      <t>キシュ</t>
    </rPh>
    <phoneticPr fontId="6"/>
  </si>
  <si>
    <t>機種384</t>
    <rPh sb="0" eb="2">
      <t>キシュ</t>
    </rPh>
    <phoneticPr fontId="6"/>
  </si>
  <si>
    <t>機種385</t>
    <rPh sb="0" eb="2">
      <t>キシュ</t>
    </rPh>
    <phoneticPr fontId="6"/>
  </si>
  <si>
    <t>機種386</t>
    <rPh sb="0" eb="2">
      <t>キシュ</t>
    </rPh>
    <phoneticPr fontId="6"/>
  </si>
  <si>
    <t>機種387</t>
    <rPh sb="0" eb="2">
      <t>キシュ</t>
    </rPh>
    <phoneticPr fontId="6"/>
  </si>
  <si>
    <t>機種388</t>
    <rPh sb="0" eb="2">
      <t>キシュ</t>
    </rPh>
    <phoneticPr fontId="6"/>
  </si>
  <si>
    <t>機種389</t>
    <rPh sb="0" eb="2">
      <t>キシュ</t>
    </rPh>
    <phoneticPr fontId="6"/>
  </si>
  <si>
    <t>機種390</t>
    <rPh sb="0" eb="2">
      <t>キシュ</t>
    </rPh>
    <phoneticPr fontId="6"/>
  </si>
  <si>
    <t>機種391</t>
    <rPh sb="0" eb="2">
      <t>キシュ</t>
    </rPh>
    <phoneticPr fontId="6"/>
  </si>
  <si>
    <t>機種392</t>
    <rPh sb="0" eb="2">
      <t>キシュ</t>
    </rPh>
    <phoneticPr fontId="6"/>
  </si>
  <si>
    <t>機種393</t>
    <rPh sb="0" eb="2">
      <t>キシュ</t>
    </rPh>
    <phoneticPr fontId="6"/>
  </si>
  <si>
    <t>機種394</t>
    <rPh sb="0" eb="2">
      <t>キシュ</t>
    </rPh>
    <phoneticPr fontId="6"/>
  </si>
  <si>
    <t>機種395</t>
    <rPh sb="0" eb="2">
      <t>キシュ</t>
    </rPh>
    <phoneticPr fontId="6"/>
  </si>
  <si>
    <t>機種396</t>
    <rPh sb="0" eb="2">
      <t>キシュ</t>
    </rPh>
    <phoneticPr fontId="6"/>
  </si>
  <si>
    <t>機種397</t>
    <rPh sb="0" eb="2">
      <t>キシュ</t>
    </rPh>
    <phoneticPr fontId="6"/>
  </si>
  <si>
    <t>機種398</t>
    <rPh sb="0" eb="2">
      <t>キシュ</t>
    </rPh>
    <phoneticPr fontId="6"/>
  </si>
  <si>
    <t>機種399</t>
    <rPh sb="0" eb="2">
      <t>キシュ</t>
    </rPh>
    <phoneticPr fontId="6"/>
  </si>
  <si>
    <t>機種400</t>
    <rPh sb="0" eb="2">
      <t>キシュ</t>
    </rPh>
    <phoneticPr fontId="6"/>
  </si>
  <si>
    <t>■資源エネルギー庁　標準発熱量・炭素排出係数（総合エネルギー統計）</t>
    <rPh sb="1" eb="3">
      <t>シゲン</t>
    </rPh>
    <rPh sb="8" eb="9">
      <t>チョウ</t>
    </rPh>
    <phoneticPr fontId="6"/>
  </si>
  <si>
    <t>■環境省　算定方法・排出係数一覧</t>
    <rPh sb="1" eb="4">
      <t>カンキョウショウ</t>
    </rPh>
    <phoneticPr fontId="6"/>
  </si>
  <si>
    <t>日使用時間
(t)</t>
    <rPh sb="0" eb="1">
      <t>ニチ</t>
    </rPh>
    <rPh sb="1" eb="3">
      <t>シヨウ</t>
    </rPh>
    <rPh sb="3" eb="5">
      <t>ジカン</t>
    </rPh>
    <phoneticPr fontId="6"/>
  </si>
  <si>
    <t>年間使用
時間(b)</t>
    <rPh sb="0" eb="2">
      <t>ネンカン</t>
    </rPh>
    <rPh sb="5" eb="7">
      <t>ジカン</t>
    </rPh>
    <phoneticPr fontId="6"/>
  </si>
  <si>
    <t>年間使用
時間(b')</t>
    <rPh sb="0" eb="2">
      <t>ネンカン</t>
    </rPh>
    <rPh sb="5" eb="7">
      <t>ジカン</t>
    </rPh>
    <phoneticPr fontId="6"/>
  </si>
  <si>
    <t>日使用時間</t>
    <rPh sb="0" eb="1">
      <t>ニチ</t>
    </rPh>
    <rPh sb="3" eb="5">
      <t>ジカン</t>
    </rPh>
    <phoneticPr fontId="6"/>
  </si>
  <si>
    <t>年間使用時間(b)</t>
    <rPh sb="0" eb="2">
      <t>ネンカン</t>
    </rPh>
    <rPh sb="4" eb="6">
      <t>ジカン</t>
    </rPh>
    <phoneticPr fontId="6"/>
  </si>
  <si>
    <t>年間使用時間(b')</t>
    <rPh sb="0" eb="2">
      <t>ネンカン</t>
    </rPh>
    <rPh sb="4" eb="6">
      <t>ジカン</t>
    </rPh>
    <phoneticPr fontId="6"/>
  </si>
  <si>
    <t>年間使用時間(t)</t>
    <rPh sb="0" eb="2">
      <t>ネンカン</t>
    </rPh>
    <phoneticPr fontId="6"/>
  </si>
  <si>
    <t>年間使用時間(t')</t>
    <phoneticPr fontId="6"/>
  </si>
  <si>
    <t>年間使用時間(t)</t>
    <rPh sb="0" eb="2">
      <t>ネンカン</t>
    </rPh>
    <rPh sb="4" eb="6">
      <t>ジカン</t>
    </rPh>
    <phoneticPr fontId="6"/>
  </si>
  <si>
    <t>定格能力</t>
    <rPh sb="0" eb="2">
      <t>テイカク</t>
    </rPh>
    <rPh sb="2" eb="4">
      <t>ノウリョク</t>
    </rPh>
    <phoneticPr fontId="6"/>
  </si>
  <si>
    <t>日使用時間(t)</t>
    <rPh sb="0" eb="1">
      <t>ニチ</t>
    </rPh>
    <phoneticPr fontId="6"/>
  </si>
  <si>
    <t>年間使用日数(d)</t>
    <rPh sb="0" eb="2">
      <t>ネンカン</t>
    </rPh>
    <rPh sb="4" eb="6">
      <t>ニッスウ</t>
    </rPh>
    <phoneticPr fontId="6"/>
  </si>
  <si>
    <t>日使用時間(t)</t>
    <rPh sb="0" eb="1">
      <t>ニチ</t>
    </rPh>
    <rPh sb="3" eb="5">
      <t>ジカン</t>
    </rPh>
    <phoneticPr fontId="6"/>
  </si>
  <si>
    <t>kL/年</t>
  </si>
  <si>
    <t>kL/年</t>
    <rPh sb="3" eb="4">
      <t>ネン</t>
    </rPh>
    <phoneticPr fontId="6"/>
  </si>
  <si>
    <t>kL/年</t>
    <phoneticPr fontId="6"/>
  </si>
  <si>
    <t>機種401</t>
    <rPh sb="0" eb="2">
      <t>キシュ</t>
    </rPh>
    <phoneticPr fontId="6"/>
  </si>
  <si>
    <t>機種402</t>
    <rPh sb="0" eb="2">
      <t>キシュ</t>
    </rPh>
    <phoneticPr fontId="6"/>
  </si>
  <si>
    <t>機種403</t>
    <rPh sb="0" eb="2">
      <t>キシュ</t>
    </rPh>
    <phoneticPr fontId="6"/>
  </si>
  <si>
    <t>機種404</t>
    <rPh sb="0" eb="2">
      <t>キシュ</t>
    </rPh>
    <phoneticPr fontId="6"/>
  </si>
  <si>
    <t>機種405</t>
    <rPh sb="0" eb="2">
      <t>キシュ</t>
    </rPh>
    <phoneticPr fontId="6"/>
  </si>
  <si>
    <t>機種406</t>
    <rPh sb="0" eb="2">
      <t>キシュ</t>
    </rPh>
    <phoneticPr fontId="6"/>
  </si>
  <si>
    <t>機種407</t>
    <rPh sb="0" eb="2">
      <t>キシュ</t>
    </rPh>
    <phoneticPr fontId="6"/>
  </si>
  <si>
    <t>機種408</t>
    <rPh sb="0" eb="2">
      <t>キシュ</t>
    </rPh>
    <phoneticPr fontId="6"/>
  </si>
  <si>
    <t>機種409</t>
    <rPh sb="0" eb="2">
      <t>キシュ</t>
    </rPh>
    <phoneticPr fontId="6"/>
  </si>
  <si>
    <t>機種410</t>
    <rPh sb="0" eb="2">
      <t>キシュ</t>
    </rPh>
    <phoneticPr fontId="6"/>
  </si>
  <si>
    <t>機種411</t>
    <rPh sb="0" eb="2">
      <t>キシュ</t>
    </rPh>
    <phoneticPr fontId="6"/>
  </si>
  <si>
    <t>機種412</t>
    <rPh sb="0" eb="2">
      <t>キシュ</t>
    </rPh>
    <phoneticPr fontId="6"/>
  </si>
  <si>
    <t>機種413</t>
    <rPh sb="0" eb="2">
      <t>キシュ</t>
    </rPh>
    <phoneticPr fontId="6"/>
  </si>
  <si>
    <t>機種414</t>
    <rPh sb="0" eb="2">
      <t>キシュ</t>
    </rPh>
    <phoneticPr fontId="6"/>
  </si>
  <si>
    <t>機種415</t>
    <rPh sb="0" eb="2">
      <t>キシュ</t>
    </rPh>
    <phoneticPr fontId="6"/>
  </si>
  <si>
    <t>機種416</t>
    <rPh sb="0" eb="2">
      <t>キシュ</t>
    </rPh>
    <phoneticPr fontId="6"/>
  </si>
  <si>
    <t>機種417</t>
    <rPh sb="0" eb="2">
      <t>キシュ</t>
    </rPh>
    <phoneticPr fontId="6"/>
  </si>
  <si>
    <t>機種418</t>
    <rPh sb="0" eb="2">
      <t>キシュ</t>
    </rPh>
    <phoneticPr fontId="6"/>
  </si>
  <si>
    <t>機種419</t>
    <rPh sb="0" eb="2">
      <t>キシュ</t>
    </rPh>
    <phoneticPr fontId="6"/>
  </si>
  <si>
    <t>機種420</t>
    <rPh sb="0" eb="2">
      <t>キシュ</t>
    </rPh>
    <phoneticPr fontId="6"/>
  </si>
  <si>
    <t>機種421</t>
    <rPh sb="0" eb="2">
      <t>キシュ</t>
    </rPh>
    <phoneticPr fontId="6"/>
  </si>
  <si>
    <t>機種422</t>
    <rPh sb="0" eb="2">
      <t>キシュ</t>
    </rPh>
    <phoneticPr fontId="6"/>
  </si>
  <si>
    <t>機種423</t>
    <rPh sb="0" eb="2">
      <t>キシュ</t>
    </rPh>
    <phoneticPr fontId="6"/>
  </si>
  <si>
    <t>機種424</t>
    <rPh sb="0" eb="2">
      <t>キシュ</t>
    </rPh>
    <phoneticPr fontId="6"/>
  </si>
  <si>
    <t>機種425</t>
    <rPh sb="0" eb="2">
      <t>キシュ</t>
    </rPh>
    <phoneticPr fontId="6"/>
  </si>
  <si>
    <t>機種426</t>
    <rPh sb="0" eb="2">
      <t>キシュ</t>
    </rPh>
    <phoneticPr fontId="6"/>
  </si>
  <si>
    <t>機種427</t>
    <rPh sb="0" eb="2">
      <t>キシュ</t>
    </rPh>
    <phoneticPr fontId="6"/>
  </si>
  <si>
    <t>機種428</t>
    <rPh sb="0" eb="2">
      <t>キシュ</t>
    </rPh>
    <phoneticPr fontId="6"/>
  </si>
  <si>
    <t>機種429</t>
    <rPh sb="0" eb="2">
      <t>キシュ</t>
    </rPh>
    <phoneticPr fontId="6"/>
  </si>
  <si>
    <t>機種430</t>
    <rPh sb="0" eb="2">
      <t>キシュ</t>
    </rPh>
    <phoneticPr fontId="6"/>
  </si>
  <si>
    <t>機種431</t>
    <rPh sb="0" eb="2">
      <t>キシュ</t>
    </rPh>
    <phoneticPr fontId="6"/>
  </si>
  <si>
    <t>機種432</t>
    <rPh sb="0" eb="2">
      <t>キシュ</t>
    </rPh>
    <phoneticPr fontId="6"/>
  </si>
  <si>
    <t>機種433</t>
    <rPh sb="0" eb="2">
      <t>キシュ</t>
    </rPh>
    <phoneticPr fontId="6"/>
  </si>
  <si>
    <t>機種434</t>
    <rPh sb="0" eb="2">
      <t>キシュ</t>
    </rPh>
    <phoneticPr fontId="6"/>
  </si>
  <si>
    <t>機種435</t>
    <rPh sb="0" eb="2">
      <t>キシュ</t>
    </rPh>
    <phoneticPr fontId="6"/>
  </si>
  <si>
    <t>機種436</t>
    <rPh sb="0" eb="2">
      <t>キシュ</t>
    </rPh>
    <phoneticPr fontId="6"/>
  </si>
  <si>
    <t>機種437</t>
    <rPh sb="0" eb="2">
      <t>キシュ</t>
    </rPh>
    <phoneticPr fontId="6"/>
  </si>
  <si>
    <t>機種438</t>
    <rPh sb="0" eb="2">
      <t>キシュ</t>
    </rPh>
    <phoneticPr fontId="6"/>
  </si>
  <si>
    <t>機種439</t>
    <rPh sb="0" eb="2">
      <t>キシュ</t>
    </rPh>
    <phoneticPr fontId="6"/>
  </si>
  <si>
    <t>機種440</t>
    <rPh sb="0" eb="2">
      <t>キシュ</t>
    </rPh>
    <phoneticPr fontId="6"/>
  </si>
  <si>
    <t>機種441</t>
    <rPh sb="0" eb="2">
      <t>キシュ</t>
    </rPh>
    <phoneticPr fontId="6"/>
  </si>
  <si>
    <t>機種442</t>
    <rPh sb="0" eb="2">
      <t>キシュ</t>
    </rPh>
    <phoneticPr fontId="6"/>
  </si>
  <si>
    <t>機種443</t>
    <rPh sb="0" eb="2">
      <t>キシュ</t>
    </rPh>
    <phoneticPr fontId="6"/>
  </si>
  <si>
    <t>機種444</t>
    <rPh sb="0" eb="2">
      <t>キシュ</t>
    </rPh>
    <phoneticPr fontId="6"/>
  </si>
  <si>
    <t>機種445</t>
    <rPh sb="0" eb="2">
      <t>キシュ</t>
    </rPh>
    <phoneticPr fontId="6"/>
  </si>
  <si>
    <t>機種446</t>
    <rPh sb="0" eb="2">
      <t>キシュ</t>
    </rPh>
    <phoneticPr fontId="6"/>
  </si>
  <si>
    <t>機種447</t>
    <rPh sb="0" eb="2">
      <t>キシュ</t>
    </rPh>
    <phoneticPr fontId="6"/>
  </si>
  <si>
    <t>機種448</t>
    <rPh sb="0" eb="2">
      <t>キシュ</t>
    </rPh>
    <phoneticPr fontId="6"/>
  </si>
  <si>
    <t>機種449</t>
    <rPh sb="0" eb="2">
      <t>キシュ</t>
    </rPh>
    <phoneticPr fontId="6"/>
  </si>
  <si>
    <t>機種450</t>
    <rPh sb="0" eb="2">
      <t>キシュ</t>
    </rPh>
    <phoneticPr fontId="6"/>
  </si>
  <si>
    <t>機種451</t>
    <rPh sb="0" eb="2">
      <t>キシュ</t>
    </rPh>
    <phoneticPr fontId="6"/>
  </si>
  <si>
    <t>機種452</t>
    <rPh sb="0" eb="2">
      <t>キシュ</t>
    </rPh>
    <phoneticPr fontId="6"/>
  </si>
  <si>
    <t>機種453</t>
    <rPh sb="0" eb="2">
      <t>キシュ</t>
    </rPh>
    <phoneticPr fontId="6"/>
  </si>
  <si>
    <t>機種454</t>
    <rPh sb="0" eb="2">
      <t>キシュ</t>
    </rPh>
    <phoneticPr fontId="6"/>
  </si>
  <si>
    <t>機種455</t>
    <rPh sb="0" eb="2">
      <t>キシュ</t>
    </rPh>
    <phoneticPr fontId="6"/>
  </si>
  <si>
    <t>機種456</t>
    <rPh sb="0" eb="2">
      <t>キシュ</t>
    </rPh>
    <phoneticPr fontId="6"/>
  </si>
  <si>
    <t>機種457</t>
    <rPh sb="0" eb="2">
      <t>キシュ</t>
    </rPh>
    <phoneticPr fontId="6"/>
  </si>
  <si>
    <t>機種458</t>
    <rPh sb="0" eb="2">
      <t>キシュ</t>
    </rPh>
    <phoneticPr fontId="6"/>
  </si>
  <si>
    <t>機種459</t>
    <rPh sb="0" eb="2">
      <t>キシュ</t>
    </rPh>
    <phoneticPr fontId="6"/>
  </si>
  <si>
    <t>機種460</t>
    <rPh sb="0" eb="2">
      <t>キシュ</t>
    </rPh>
    <phoneticPr fontId="6"/>
  </si>
  <si>
    <t>機種461</t>
    <rPh sb="0" eb="2">
      <t>キシュ</t>
    </rPh>
    <phoneticPr fontId="6"/>
  </si>
  <si>
    <t>機種462</t>
    <rPh sb="0" eb="2">
      <t>キシュ</t>
    </rPh>
    <phoneticPr fontId="6"/>
  </si>
  <si>
    <t>機種463</t>
    <rPh sb="0" eb="2">
      <t>キシュ</t>
    </rPh>
    <phoneticPr fontId="6"/>
  </si>
  <si>
    <t>機種464</t>
    <rPh sb="0" eb="2">
      <t>キシュ</t>
    </rPh>
    <phoneticPr fontId="6"/>
  </si>
  <si>
    <t>機種465</t>
    <rPh sb="0" eb="2">
      <t>キシュ</t>
    </rPh>
    <phoneticPr fontId="6"/>
  </si>
  <si>
    <t>機種466</t>
    <rPh sb="0" eb="2">
      <t>キシュ</t>
    </rPh>
    <phoneticPr fontId="6"/>
  </si>
  <si>
    <t>機種467</t>
    <rPh sb="0" eb="2">
      <t>キシュ</t>
    </rPh>
    <phoneticPr fontId="6"/>
  </si>
  <si>
    <t>機種468</t>
    <rPh sb="0" eb="2">
      <t>キシュ</t>
    </rPh>
    <phoneticPr fontId="6"/>
  </si>
  <si>
    <t>機種469</t>
    <rPh sb="0" eb="2">
      <t>キシュ</t>
    </rPh>
    <phoneticPr fontId="6"/>
  </si>
  <si>
    <t>機種470</t>
    <rPh sb="0" eb="2">
      <t>キシュ</t>
    </rPh>
    <phoneticPr fontId="6"/>
  </si>
  <si>
    <t>機種471</t>
    <rPh sb="0" eb="2">
      <t>キシュ</t>
    </rPh>
    <phoneticPr fontId="6"/>
  </si>
  <si>
    <t>機種472</t>
    <rPh sb="0" eb="2">
      <t>キシュ</t>
    </rPh>
    <phoneticPr fontId="6"/>
  </si>
  <si>
    <t>機種473</t>
    <rPh sb="0" eb="2">
      <t>キシュ</t>
    </rPh>
    <phoneticPr fontId="6"/>
  </si>
  <si>
    <t>機種474</t>
    <rPh sb="0" eb="2">
      <t>キシュ</t>
    </rPh>
    <phoneticPr fontId="6"/>
  </si>
  <si>
    <t>機種475</t>
    <rPh sb="0" eb="2">
      <t>キシュ</t>
    </rPh>
    <phoneticPr fontId="6"/>
  </si>
  <si>
    <t>機種476</t>
    <rPh sb="0" eb="2">
      <t>キシュ</t>
    </rPh>
    <phoneticPr fontId="6"/>
  </si>
  <si>
    <t>機種477</t>
    <rPh sb="0" eb="2">
      <t>キシュ</t>
    </rPh>
    <phoneticPr fontId="6"/>
  </si>
  <si>
    <t>機種478</t>
    <rPh sb="0" eb="2">
      <t>キシュ</t>
    </rPh>
    <phoneticPr fontId="6"/>
  </si>
  <si>
    <t>機種479</t>
    <rPh sb="0" eb="2">
      <t>キシュ</t>
    </rPh>
    <phoneticPr fontId="6"/>
  </si>
  <si>
    <t>機種480</t>
    <rPh sb="0" eb="2">
      <t>キシュ</t>
    </rPh>
    <phoneticPr fontId="6"/>
  </si>
  <si>
    <t>機種481</t>
    <rPh sb="0" eb="2">
      <t>キシュ</t>
    </rPh>
    <phoneticPr fontId="6"/>
  </si>
  <si>
    <t>機種482</t>
    <rPh sb="0" eb="2">
      <t>キシュ</t>
    </rPh>
    <phoneticPr fontId="6"/>
  </si>
  <si>
    <t>機種483</t>
    <rPh sb="0" eb="2">
      <t>キシュ</t>
    </rPh>
    <phoneticPr fontId="6"/>
  </si>
  <si>
    <t>機種484</t>
    <rPh sb="0" eb="2">
      <t>キシュ</t>
    </rPh>
    <phoneticPr fontId="6"/>
  </si>
  <si>
    <t>機種485</t>
    <rPh sb="0" eb="2">
      <t>キシュ</t>
    </rPh>
    <phoneticPr fontId="6"/>
  </si>
  <si>
    <t>機種486</t>
    <rPh sb="0" eb="2">
      <t>キシュ</t>
    </rPh>
    <phoneticPr fontId="6"/>
  </si>
  <si>
    <t>機種487</t>
    <rPh sb="0" eb="2">
      <t>キシュ</t>
    </rPh>
    <phoneticPr fontId="6"/>
  </si>
  <si>
    <t>機種488</t>
    <rPh sb="0" eb="2">
      <t>キシュ</t>
    </rPh>
    <phoneticPr fontId="6"/>
  </si>
  <si>
    <t>機種489</t>
    <rPh sb="0" eb="2">
      <t>キシュ</t>
    </rPh>
    <phoneticPr fontId="6"/>
  </si>
  <si>
    <t>機種490</t>
    <rPh sb="0" eb="2">
      <t>キシュ</t>
    </rPh>
    <phoneticPr fontId="6"/>
  </si>
  <si>
    <t>機種491</t>
    <rPh sb="0" eb="2">
      <t>キシュ</t>
    </rPh>
    <phoneticPr fontId="6"/>
  </si>
  <si>
    <t>機種492</t>
    <rPh sb="0" eb="2">
      <t>キシュ</t>
    </rPh>
    <phoneticPr fontId="6"/>
  </si>
  <si>
    <t>機種493</t>
    <rPh sb="0" eb="2">
      <t>キシュ</t>
    </rPh>
    <phoneticPr fontId="6"/>
  </si>
  <si>
    <t>機種494</t>
    <rPh sb="0" eb="2">
      <t>キシュ</t>
    </rPh>
    <phoneticPr fontId="6"/>
  </si>
  <si>
    <t>機種495</t>
    <rPh sb="0" eb="2">
      <t>キシュ</t>
    </rPh>
    <phoneticPr fontId="6"/>
  </si>
  <si>
    <t>機種496</t>
    <rPh sb="0" eb="2">
      <t>キシュ</t>
    </rPh>
    <phoneticPr fontId="6"/>
  </si>
  <si>
    <t>機種497</t>
    <rPh sb="0" eb="2">
      <t>キシュ</t>
    </rPh>
    <phoneticPr fontId="6"/>
  </si>
  <si>
    <t>機種498</t>
    <rPh sb="0" eb="2">
      <t>キシュ</t>
    </rPh>
    <phoneticPr fontId="6"/>
  </si>
  <si>
    <t>機種499</t>
    <rPh sb="0" eb="2">
      <t>キシュ</t>
    </rPh>
    <phoneticPr fontId="6"/>
  </si>
  <si>
    <t>機種500</t>
    <rPh sb="0" eb="2">
      <t>キシュ</t>
    </rPh>
    <phoneticPr fontId="6"/>
  </si>
  <si>
    <t>原油削減量</t>
    <phoneticPr fontId="6"/>
  </si>
  <si>
    <t>kL/年</t>
    <phoneticPr fontId="6"/>
  </si>
  <si>
    <t>算定結果</t>
    <rPh sb="0" eb="4">
      <t>サンテイケッカ</t>
    </rPh>
    <phoneticPr fontId="6"/>
  </si>
  <si>
    <t>時間/日</t>
    <rPh sb="0" eb="2">
      <t>ジカン</t>
    </rPh>
    <rPh sb="3" eb="4">
      <t>ニチ</t>
    </rPh>
    <phoneticPr fontId="6"/>
  </si>
  <si>
    <t>日/年</t>
    <rPh sb="0" eb="1">
      <t>ニチ</t>
    </rPh>
    <rPh sb="2" eb="3">
      <t>ネン</t>
    </rPh>
    <phoneticPr fontId="6"/>
  </si>
  <si>
    <t>年</t>
    <rPh sb="0" eb="1">
      <t>ネン</t>
    </rPh>
    <phoneticPr fontId="6"/>
  </si>
  <si>
    <t>個</t>
    <rPh sb="0" eb="1">
      <t>コ</t>
    </rPh>
    <phoneticPr fontId="6"/>
  </si>
  <si>
    <t>極</t>
    <rPh sb="0" eb="1">
      <t>キョク</t>
    </rPh>
    <phoneticPr fontId="6"/>
  </si>
  <si>
    <t>％</t>
    <phoneticPr fontId="6"/>
  </si>
  <si>
    <t>診断結果【既存設備のエネルギー使用量】</t>
    <rPh sb="0" eb="4">
      <t>シンダンケッカ</t>
    </rPh>
    <rPh sb="5" eb="9">
      <t>キゾンセツビ</t>
    </rPh>
    <rPh sb="15" eb="18">
      <t>シヨウリョウ</t>
    </rPh>
    <phoneticPr fontId="6"/>
  </si>
  <si>
    <t>㎥</t>
  </si>
  <si>
    <t>照明</t>
    <rPh sb="0" eb="2">
      <t>ショウメイ</t>
    </rPh>
    <phoneticPr fontId="6"/>
  </si>
  <si>
    <t>変圧器</t>
    <rPh sb="0" eb="3">
      <t>ヘンアツキ</t>
    </rPh>
    <phoneticPr fontId="6"/>
  </si>
  <si>
    <t>エネルギー量判定</t>
    <rPh sb="5" eb="6">
      <t>リョウ</t>
    </rPh>
    <rPh sb="6" eb="8">
      <t>ハンテイ</t>
    </rPh>
    <phoneticPr fontId="6"/>
  </si>
  <si>
    <t>https://www.enecho.meti.go.jp/category/saving_and_new/saving/enterprise/equipment/</t>
    <phoneticPr fontId="6"/>
  </si>
  <si>
    <t>『(Ⅲ)設備単位型』補助対象（制御機能付きLED照明器具）</t>
    <rPh sb="15" eb="17">
      <t>セイギョ</t>
    </rPh>
    <rPh sb="17" eb="20">
      <t>キノウツ</t>
    </rPh>
    <rPh sb="24" eb="28">
      <t>ショウメイキグ</t>
    </rPh>
    <phoneticPr fontId="6"/>
  </si>
  <si>
    <t>https://sii.or.jp/setsubi05r/search/maker?tab=maker&amp;category=led_light#search</t>
    <phoneticPr fontId="6"/>
  </si>
  <si>
    <t>トップランナー制度（3 照明器具）</t>
    <rPh sb="7" eb="9">
      <t>セイド</t>
    </rPh>
    <rPh sb="12" eb="16">
      <t>ショウメイキグ</t>
    </rPh>
    <phoneticPr fontId="6"/>
  </si>
  <si>
    <t>トップランナー制度（2 エアコンディショナー）</t>
    <rPh sb="7" eb="9">
      <t>セイド</t>
    </rPh>
    <phoneticPr fontId="6"/>
  </si>
  <si>
    <t>『(Ⅲ)設備単位型』補助対象（高効率空調）</t>
    <rPh sb="15" eb="20">
      <t>コウコウリツクウチョウ</t>
    </rPh>
    <phoneticPr fontId="6"/>
  </si>
  <si>
    <t>トップランナー制度（14 ガス温水機器、15 石油温水機器、26 ヒートポンプ給湯器）</t>
    <rPh sb="7" eb="9">
      <t>セイド</t>
    </rPh>
    <rPh sb="15" eb="19">
      <t>オンスイキキ</t>
    </rPh>
    <rPh sb="23" eb="29">
      <t>セキユオンスイキキ</t>
    </rPh>
    <rPh sb="39" eb="42">
      <t>キュウトウキ</t>
    </rPh>
    <phoneticPr fontId="6"/>
  </si>
  <si>
    <t>『(Ⅲ)設備単位型』補助対象（産業ヒートポンプ、高性能ボイラ）</t>
    <rPh sb="15" eb="17">
      <t>サンギョウ</t>
    </rPh>
    <rPh sb="24" eb="27">
      <t>コウセイノウ</t>
    </rPh>
    <phoneticPr fontId="6"/>
  </si>
  <si>
    <t>トップランナー制度（27 交流電動機）</t>
    <rPh sb="7" eb="9">
      <t>セイド</t>
    </rPh>
    <rPh sb="13" eb="18">
      <t>コウリュウデンドウキ</t>
    </rPh>
    <phoneticPr fontId="6"/>
  </si>
  <si>
    <t>『(Ⅲ)設備単位型』補助対象（産業用モータ）</t>
    <rPh sb="15" eb="18">
      <t>サンギョウヨウ</t>
    </rPh>
    <phoneticPr fontId="6"/>
  </si>
  <si>
    <t>トップランナー制度（18 変圧器）</t>
    <rPh sb="7" eb="9">
      <t>セイド</t>
    </rPh>
    <rPh sb="13" eb="16">
      <t>ヘンアツキ</t>
    </rPh>
    <phoneticPr fontId="6"/>
  </si>
  <si>
    <t>『(Ⅲ)設備単位型』補助対象（変圧器）</t>
    <rPh sb="15" eb="18">
      <t>ヘンアツキ</t>
    </rPh>
    <phoneticPr fontId="6"/>
  </si>
  <si>
    <t>LPGの㎥→kg換算</t>
    <rPh sb="8" eb="10">
      <t>カンサン</t>
    </rPh>
    <phoneticPr fontId="6"/>
  </si>
  <si>
    <t>空調の更新</t>
    <phoneticPr fontId="6"/>
  </si>
  <si>
    <t>型番</t>
    <rPh sb="0" eb="2">
      <t>カタバン</t>
    </rPh>
    <phoneticPr fontId="6"/>
  </si>
  <si>
    <t>空調負荷率</t>
    <rPh sb="2" eb="5">
      <t>フカリツ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</si>
  <si>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</si>
  <si>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</si>
  <si>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</si>
  <si>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</si>
  <si>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</si>
  <si>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</si>
  <si>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</si>
  <si>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</si>
  <si>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</si>
  <si>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</si>
  <si>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</si>
  <si>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</si>
  <si>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店舗</t>
    <rPh sb="0" eb="2">
      <t>テンポ</t>
    </rPh>
    <phoneticPr fontId="6"/>
  </si>
  <si>
    <t>事務所</t>
    <rPh sb="0" eb="3">
      <t>ジムショ</t>
    </rPh>
    <phoneticPr fontId="6"/>
  </si>
  <si>
    <t>月＼</t>
    <rPh sb="0" eb="1">
      <t>ツキ</t>
    </rPh>
    <phoneticPr fontId="6"/>
  </si>
  <si>
    <t>日数</t>
    <rPh sb="0" eb="2">
      <t>ニッスウ</t>
    </rPh>
    <phoneticPr fontId="6"/>
  </si>
  <si>
    <t>設備用途＼</t>
    <phoneticPr fontId="6"/>
  </si>
  <si>
    <t>設備種類</t>
    <phoneticPr fontId="6"/>
  </si>
  <si>
    <t>消費電力計算</t>
    <rPh sb="0" eb="4">
      <t>ショウヒデンリョク</t>
    </rPh>
    <rPh sb="4" eb="6">
      <t>ケイサン</t>
    </rPh>
    <phoneticPr fontId="6"/>
  </si>
  <si>
    <t>APF
(2006)</t>
    <phoneticPr fontId="6"/>
  </si>
  <si>
    <t>負荷順→</t>
    <rPh sb="0" eb="2">
      <t>フカ</t>
    </rPh>
    <rPh sb="2" eb="3">
      <t>ジュン</t>
    </rPh>
    <phoneticPr fontId="6"/>
  </si>
  <si>
    <t>合計</t>
    <rPh sb="0" eb="2">
      <t>ゴウケイ</t>
    </rPh>
    <phoneticPr fontId="6"/>
  </si>
  <si>
    <t>既存冷房</t>
    <rPh sb="0" eb="2">
      <t>キゾン</t>
    </rPh>
    <rPh sb="2" eb="4">
      <t>レイボウ</t>
    </rPh>
    <phoneticPr fontId="6"/>
  </si>
  <si>
    <t>既存暖房</t>
    <rPh sb="0" eb="2">
      <t>キゾン</t>
    </rPh>
    <rPh sb="2" eb="4">
      <t>ダンボウ</t>
    </rPh>
    <phoneticPr fontId="6"/>
  </si>
  <si>
    <t>ガス燃料種類</t>
    <phoneticPr fontId="6"/>
  </si>
  <si>
    <t>月</t>
    <rPh sb="0" eb="1">
      <t>ツキ</t>
    </rPh>
    <phoneticPr fontId="6"/>
  </si>
  <si>
    <t>設備用途</t>
    <phoneticPr fontId="6"/>
  </si>
  <si>
    <t>老朽</t>
    <rPh sb="0" eb="2">
      <t>ロウキュウ</t>
    </rPh>
    <phoneticPr fontId="6"/>
  </si>
  <si>
    <t>用途</t>
    <rPh sb="0" eb="2">
      <t>ヨウト</t>
    </rPh>
    <phoneticPr fontId="6"/>
  </si>
  <si>
    <t>負荷</t>
    <rPh sb="0" eb="2">
      <t>フカ</t>
    </rPh>
    <phoneticPr fontId="6"/>
  </si>
  <si>
    <t>体積</t>
    <rPh sb="0" eb="2">
      <t>タイセキ</t>
    </rPh>
    <phoneticPr fontId="6"/>
  </si>
  <si>
    <t>更新冷房</t>
    <rPh sb="0" eb="2">
      <t>コウシン</t>
    </rPh>
    <rPh sb="2" eb="4">
      <t>レイボウ</t>
    </rPh>
    <phoneticPr fontId="6"/>
  </si>
  <si>
    <t>更新暖房</t>
    <rPh sb="0" eb="2">
      <t>コウシン</t>
    </rPh>
    <rPh sb="2" eb="4">
      <t>ダンボウ</t>
    </rPh>
    <phoneticPr fontId="6"/>
  </si>
  <si>
    <t>消費ガス計算</t>
    <rPh sb="4" eb="6">
      <t>ケイサン</t>
    </rPh>
    <phoneticPr fontId="6"/>
  </si>
  <si>
    <t>■算定総括（削減効果）</t>
    <rPh sb="1" eb="5">
      <t>サンテイソウカツ</t>
    </rPh>
    <rPh sb="6" eb="10">
      <t>サクゲンコウカ</t>
    </rPh>
    <phoneticPr fontId="6"/>
  </si>
  <si>
    <t>年間（計算結果）</t>
    <rPh sb="0" eb="2">
      <t>ネンカン</t>
    </rPh>
    <rPh sb="3" eb="5">
      <t>ケイサン</t>
    </rPh>
    <rPh sb="5" eb="7">
      <t>ケッカ</t>
    </rPh>
    <phoneticPr fontId="6"/>
  </si>
  <si>
    <t>前APF</t>
    <rPh sb="0" eb="1">
      <t>マエ</t>
    </rPh>
    <phoneticPr fontId="6"/>
  </si>
  <si>
    <t>後APF</t>
    <rPh sb="0" eb="1">
      <t>アト</t>
    </rPh>
    <phoneticPr fontId="6"/>
  </si>
  <si>
    <t>ガス</t>
    <phoneticPr fontId="6"/>
  </si>
  <si>
    <t>電力：CO2排出量・原油換算</t>
    <rPh sb="0" eb="2">
      <t>デンリョク</t>
    </rPh>
    <rPh sb="6" eb="8">
      <t>ハイシュツ</t>
    </rPh>
    <rPh sb="8" eb="9">
      <t>リョウ</t>
    </rPh>
    <rPh sb="10" eb="14">
      <t>ゲンユカンサン</t>
    </rPh>
    <phoneticPr fontId="6"/>
  </si>
  <si>
    <t>CO2</t>
    <phoneticPr fontId="6"/>
  </si>
  <si>
    <t>原油</t>
    <rPh sb="0" eb="2">
      <t>ゲンユ</t>
    </rPh>
    <phoneticPr fontId="6"/>
  </si>
  <si>
    <t>発熱</t>
    <rPh sb="0" eb="2">
      <t>ハツネツ</t>
    </rPh>
    <phoneticPr fontId="6"/>
  </si>
  <si>
    <t>変圧比</t>
    <phoneticPr fontId="6"/>
  </si>
  <si>
    <t>相数</t>
    <rPh sb="0" eb="1">
      <t>ソウ</t>
    </rPh>
    <rPh sb="1" eb="2">
      <t>スウ</t>
    </rPh>
    <phoneticPr fontId="6"/>
  </si>
  <si>
    <t>台数の増減</t>
    <rPh sb="3" eb="5">
      <t>ゾウゲン</t>
    </rPh>
    <phoneticPr fontId="6"/>
  </si>
  <si>
    <t>台数(n)</t>
    <phoneticPr fontId="6"/>
  </si>
  <si>
    <t>台数(n')</t>
    <phoneticPr fontId="6"/>
  </si>
  <si>
    <t>更新後</t>
    <rPh sb="0" eb="3">
      <t>コウシンゴ</t>
    </rPh>
    <phoneticPr fontId="6"/>
  </si>
  <si>
    <t>kL/年</t>
    <phoneticPr fontId="6"/>
  </si>
  <si>
    <t>概要</t>
    <rPh sb="0" eb="2">
      <t>ガイヨウ</t>
    </rPh>
    <phoneticPr fontId="6"/>
  </si>
  <si>
    <t>型番
（セット又は室外機）</t>
    <rPh sb="0" eb="2">
      <t>カタバン</t>
    </rPh>
    <rPh sb="7" eb="8">
      <t>マタ</t>
    </rPh>
    <rPh sb="9" eb="12">
      <t>シツガイキ</t>
    </rPh>
    <phoneticPr fontId="6"/>
  </si>
  <si>
    <t>モーター数(n)</t>
    <rPh sb="4" eb="5">
      <t>スウ</t>
    </rPh>
    <phoneticPr fontId="6"/>
  </si>
  <si>
    <t>モーター数(n')</t>
    <rPh sb="4" eb="5">
      <t>スウ</t>
    </rPh>
    <phoneticPr fontId="6"/>
  </si>
  <si>
    <t>燃料削減量（F-F')</t>
    <rPh sb="0" eb="2">
      <t>ネンリョウ</t>
    </rPh>
    <rPh sb="2" eb="5">
      <t>サクゲンリョウ</t>
    </rPh>
    <phoneticPr fontId="6"/>
  </si>
  <si>
    <t>年間（計算結果）</t>
    <rPh sb="0" eb="2">
      <t>ネンカン</t>
    </rPh>
    <rPh sb="3" eb="7">
      <t>ケイサンケッカ</t>
    </rPh>
    <phoneticPr fontId="6"/>
  </si>
  <si>
    <t>FHF32、2灯式</t>
    <phoneticPr fontId="6"/>
  </si>
  <si>
    <t>FHF32、1灯式</t>
    <phoneticPr fontId="6"/>
  </si>
  <si>
    <t>FLR40、1灯式</t>
    <phoneticPr fontId="6"/>
  </si>
  <si>
    <t>FLR40、2灯式</t>
    <phoneticPr fontId="6"/>
  </si>
  <si>
    <t>(kcal/㎥)</t>
  </si>
  <si>
    <t>(kcal/㎥)</t>
    <phoneticPr fontId="13"/>
  </si>
  <si>
    <t>体積換算</t>
    <rPh sb="0" eb="4">
      <t>タイセキカンサン</t>
    </rPh>
    <phoneticPr fontId="13"/>
  </si>
  <si>
    <t>ABCD1234</t>
    <phoneticPr fontId="6"/>
  </si>
  <si>
    <t>EFGH5678</t>
    <phoneticPr fontId="6"/>
  </si>
  <si>
    <t>JKLM9012</t>
    <phoneticPr fontId="6"/>
  </si>
  <si>
    <t>NOPQ3456</t>
    <phoneticPr fontId="6"/>
  </si>
  <si>
    <t>RS7890</t>
    <phoneticPr fontId="6"/>
  </si>
  <si>
    <t>水銀灯、300W</t>
    <phoneticPr fontId="6"/>
  </si>
  <si>
    <t>型番
（又は名称等）</t>
    <rPh sb="0" eb="2">
      <t>カタバン</t>
    </rPh>
    <rPh sb="4" eb="5">
      <t>マタ</t>
    </rPh>
    <rPh sb="6" eb="8">
      <t>メイショウ</t>
    </rPh>
    <rPh sb="8" eb="9">
      <t>ナド</t>
    </rPh>
    <phoneticPr fontId="6"/>
  </si>
  <si>
    <t>【記入例】照明の更新</t>
    <rPh sb="1" eb="4">
      <t>キニュウレイ</t>
    </rPh>
    <rPh sb="5" eb="7">
      <t>ショウメイ</t>
    </rPh>
    <phoneticPr fontId="6"/>
  </si>
  <si>
    <r>
      <t>定格消費電力（a</t>
    </r>
    <r>
      <rPr>
        <vertAlign val="sub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）</t>
    </r>
    <rPh sb="2" eb="4">
      <t>ショウヒ</t>
    </rPh>
    <rPh sb="4" eb="6">
      <t>デンリョク</t>
    </rPh>
    <phoneticPr fontId="6"/>
  </si>
  <si>
    <r>
      <t>定格消費ガス量(b</t>
    </r>
    <r>
      <rPr>
        <vertAlign val="sub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)</t>
    </r>
    <rPh sb="2" eb="4">
      <t>ショウヒ</t>
    </rPh>
    <rPh sb="6" eb="7">
      <t>リョウ</t>
    </rPh>
    <phoneticPr fontId="6"/>
  </si>
  <si>
    <r>
      <t>定格消費電力（a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）</t>
    </r>
    <rPh sb="2" eb="4">
      <t>ショウヒ</t>
    </rPh>
    <rPh sb="4" eb="6">
      <t>デンリョク</t>
    </rPh>
    <phoneticPr fontId="6"/>
  </si>
  <si>
    <r>
      <t>定格消費ガス量(b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)</t>
    </r>
    <rPh sb="0" eb="2">
      <t>テイカク</t>
    </rPh>
    <rPh sb="2" eb="4">
      <t>ショウヒ</t>
    </rPh>
    <rPh sb="6" eb="7">
      <t>リョウ</t>
    </rPh>
    <phoneticPr fontId="6"/>
  </si>
  <si>
    <t>年間電力消費量(E)</t>
    <phoneticPr fontId="6"/>
  </si>
  <si>
    <r>
      <t>定格消費電力（a'</t>
    </r>
    <r>
      <rPr>
        <vertAlign val="sub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）</t>
    </r>
    <rPh sb="2" eb="4">
      <t>ショウヒ</t>
    </rPh>
    <rPh sb="4" eb="6">
      <t>デンリョク</t>
    </rPh>
    <phoneticPr fontId="6"/>
  </si>
  <si>
    <r>
      <t>定格消費ガス量(b'</t>
    </r>
    <r>
      <rPr>
        <vertAlign val="sub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)</t>
    </r>
    <rPh sb="2" eb="4">
      <t>ショウヒ</t>
    </rPh>
    <rPh sb="6" eb="7">
      <t>リョウ</t>
    </rPh>
    <phoneticPr fontId="6"/>
  </si>
  <si>
    <r>
      <t>定格消費電力（a'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）</t>
    </r>
    <rPh sb="2" eb="4">
      <t>ショウヒ</t>
    </rPh>
    <rPh sb="4" eb="6">
      <t>デンリョク</t>
    </rPh>
    <phoneticPr fontId="6"/>
  </si>
  <si>
    <r>
      <t>定格消費ガス量('b</t>
    </r>
    <r>
      <rPr>
        <vertAlign val="sub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)</t>
    </r>
    <rPh sb="0" eb="2">
      <t>テイカク</t>
    </rPh>
    <rPh sb="2" eb="4">
      <t>ショウヒ</t>
    </rPh>
    <rPh sb="6" eb="7">
      <t>リョウ</t>
    </rPh>
    <phoneticPr fontId="6"/>
  </si>
  <si>
    <t>年間電力消費量(E')</t>
    <phoneticPr fontId="6"/>
  </si>
  <si>
    <t>GHP</t>
  </si>
  <si>
    <t>13A（都市ガス）</t>
  </si>
  <si>
    <t>LPG</t>
  </si>
  <si>
    <t>電気式</t>
  </si>
  <si>
    <t>事務所</t>
  </si>
  <si>
    <t>導入年度
（西暦）</t>
    <rPh sb="0" eb="2">
      <t>ドウニュウ</t>
    </rPh>
    <rPh sb="2" eb="4">
      <t>ネンド</t>
    </rPh>
    <rPh sb="6" eb="8">
      <t>セイレキ</t>
    </rPh>
    <phoneticPr fontId="6"/>
  </si>
  <si>
    <t>【記入例】空調の更新</t>
    <rPh sb="1" eb="4">
      <t>キニュウレイ</t>
    </rPh>
    <phoneticPr fontId="6"/>
  </si>
  <si>
    <t>記入例用</t>
    <rPh sb="0" eb="3">
      <t>キニュウレイ</t>
    </rPh>
    <rPh sb="3" eb="4">
      <t>ヨウ</t>
    </rPh>
    <phoneticPr fontId="6"/>
  </si>
  <si>
    <t>店舗・工場等</t>
  </si>
  <si>
    <t>更新後</t>
    <rPh sb="0" eb="3">
      <t>コウシンゴ</t>
    </rPh>
    <phoneticPr fontId="6"/>
  </si>
  <si>
    <t>算定の要素（空調シートからの転記）</t>
    <rPh sb="0" eb="2">
      <t>サンテイ</t>
    </rPh>
    <rPh sb="3" eb="5">
      <t>ヨウソ</t>
    </rPh>
    <rPh sb="6" eb="8">
      <t>クウチョウ</t>
    </rPh>
    <rPh sb="14" eb="16">
      <t>テンキ</t>
    </rPh>
    <phoneticPr fontId="6"/>
  </si>
  <si>
    <t>電力：CO2排出量・原油換算（冷房：V列、暖房AL列の換算）</t>
    <rPh sb="0" eb="2">
      <t>デンリョク</t>
    </rPh>
    <rPh sb="6" eb="8">
      <t>ハイシュツ</t>
    </rPh>
    <rPh sb="8" eb="9">
      <t>リョウ</t>
    </rPh>
    <rPh sb="10" eb="14">
      <t>ゲンユカンサン</t>
    </rPh>
    <rPh sb="15" eb="17">
      <t>レイボウ</t>
    </rPh>
    <rPh sb="19" eb="20">
      <t>レツ</t>
    </rPh>
    <rPh sb="21" eb="23">
      <t>ダンボウ</t>
    </rPh>
    <rPh sb="25" eb="26">
      <t>レツ</t>
    </rPh>
    <rPh sb="27" eb="29">
      <t>カンサン</t>
    </rPh>
    <phoneticPr fontId="6"/>
  </si>
  <si>
    <t>ガス：CO2排出量・原油換算（冷房：V列、暖房AL列の換算）</t>
    <phoneticPr fontId="6"/>
  </si>
  <si>
    <t>算定の要素（空調シートからの転記等）</t>
    <rPh sb="0" eb="2">
      <t>サンテイ</t>
    </rPh>
    <rPh sb="3" eb="5">
      <t>ヨウソ</t>
    </rPh>
    <rPh sb="6" eb="8">
      <t>クウチョウ</t>
    </rPh>
    <rPh sb="14" eb="16">
      <t>テンキ</t>
    </rPh>
    <rPh sb="16" eb="17">
      <t>ナド</t>
    </rPh>
    <phoneticPr fontId="6"/>
  </si>
  <si>
    <t>↓消費エネルギー計算</t>
    <rPh sb="1" eb="3">
      <t>ショウヒ</t>
    </rPh>
    <rPh sb="8" eb="10">
      <t>ケイサン</t>
    </rPh>
    <phoneticPr fontId="6"/>
  </si>
  <si>
    <t>日数振り分け（負荷率が高い月の順に日数振り分け）</t>
    <rPh sb="0" eb="3">
      <t>ニッスウフ</t>
    </rPh>
    <rPh sb="4" eb="5">
      <t>ワ</t>
    </rPh>
    <rPh sb="7" eb="10">
      <t>フカリツ</t>
    </rPh>
    <rPh sb="11" eb="12">
      <t>タカ</t>
    </rPh>
    <rPh sb="13" eb="14">
      <t>ツキ</t>
    </rPh>
    <rPh sb="15" eb="16">
      <t>ジュン</t>
    </rPh>
    <rPh sb="17" eb="19">
      <t>ニッスウ</t>
    </rPh>
    <rPh sb="19" eb="20">
      <t>フ</t>
    </rPh>
    <rPh sb="21" eb="22">
      <t>ワ</t>
    </rPh>
    <phoneticPr fontId="6"/>
  </si>
  <si>
    <t>↓算定要素の転記</t>
    <rPh sb="1" eb="5">
      <t>サンテイヨウソ</t>
    </rPh>
    <rPh sb="6" eb="8">
      <t>テンキ</t>
    </rPh>
    <phoneticPr fontId="6"/>
  </si>
  <si>
    <t>↓消費エネルギーのCO2・原油換算</t>
    <rPh sb="1" eb="3">
      <t>ショウヒ</t>
    </rPh>
    <rPh sb="13" eb="17">
      <t>ゲンユカンサン</t>
    </rPh>
    <phoneticPr fontId="6"/>
  </si>
  <si>
    <t>AAA140BB</t>
    <phoneticPr fontId="6"/>
  </si>
  <si>
    <t>CCC450DD</t>
    <phoneticPr fontId="6"/>
  </si>
  <si>
    <t>EEE125FF</t>
    <phoneticPr fontId="6"/>
  </si>
  <si>
    <t>GGG450HH</t>
    <phoneticPr fontId="6"/>
  </si>
  <si>
    <t>JJJ355KK</t>
    <phoneticPr fontId="6"/>
  </si>
  <si>
    <t>AAA140VV</t>
    <phoneticPr fontId="6"/>
  </si>
  <si>
    <t>CCC450WW</t>
    <phoneticPr fontId="6"/>
  </si>
  <si>
    <t>EEE125XX</t>
    <phoneticPr fontId="6"/>
  </si>
  <si>
    <t>GGG450YY</t>
    <phoneticPr fontId="6"/>
  </si>
  <si>
    <t>LLL071ZZ</t>
    <phoneticPr fontId="6"/>
  </si>
  <si>
    <t>定格冷房能力</t>
  </si>
  <si>
    <t>定格冷房消費電力</t>
  </si>
  <si>
    <t>定格暖房能力</t>
  </si>
  <si>
    <t>定格暖房消費電力</t>
  </si>
  <si>
    <t>最大暖房低温能力</t>
  </si>
  <si>
    <t>最大暖房低温消費電力</t>
  </si>
  <si>
    <t>三相　200V　50/60Hz</t>
  </si>
  <si>
    <t>AAA140BB</t>
    <phoneticPr fontId="6"/>
  </si>
  <si>
    <t>【記入例】ボイラー・給湯器の更新</t>
    <rPh sb="1" eb="4">
      <t>キニュウレイ</t>
    </rPh>
    <rPh sb="10" eb="13">
      <t>キュウトウキ</t>
    </rPh>
    <phoneticPr fontId="6"/>
  </si>
  <si>
    <t>ボイラー</t>
  </si>
  <si>
    <t>給湯器（加熱式）</t>
  </si>
  <si>
    <t>t/h</t>
  </si>
  <si>
    <t>※LPGは体積換算「㎥（kg÷0.458）」</t>
    <rPh sb="5" eb="9">
      <t>タイセキカンサン</t>
    </rPh>
    <phoneticPr fontId="6"/>
  </si>
  <si>
    <t>AA350BC</t>
    <phoneticPr fontId="6"/>
  </si>
  <si>
    <t>DD087EF</t>
    <phoneticPr fontId="6"/>
  </si>
  <si>
    <t>GG004HJ</t>
    <phoneticPr fontId="6"/>
  </si>
  <si>
    <t>更新前（合計）</t>
    <rPh sb="0" eb="2">
      <t>コウシン</t>
    </rPh>
    <rPh sb="2" eb="3">
      <t>マエ</t>
    </rPh>
    <rPh sb="4" eb="6">
      <t>ゴウケイ</t>
    </rPh>
    <phoneticPr fontId="6"/>
  </si>
  <si>
    <t>更新後（合計）</t>
    <rPh sb="0" eb="2">
      <t>コウシン</t>
    </rPh>
    <rPh sb="2" eb="3">
      <t>ゴ</t>
    </rPh>
    <phoneticPr fontId="6"/>
  </si>
  <si>
    <t>NN233OO</t>
    <phoneticPr fontId="6"/>
  </si>
  <si>
    <t>AA350PQ</t>
    <phoneticPr fontId="6"/>
  </si>
  <si>
    <t>DD087RS</t>
    <phoneticPr fontId="6"/>
  </si>
  <si>
    <t>TT006UV</t>
    <phoneticPr fontId="6"/>
  </si>
  <si>
    <t>KK026LM</t>
  </si>
  <si>
    <t>電気</t>
  </si>
  <si>
    <t>灯油</t>
  </si>
  <si>
    <t>KK233WXY</t>
    <phoneticPr fontId="6"/>
  </si>
  <si>
    <t>ZZ233AB</t>
    <phoneticPr fontId="6"/>
  </si>
  <si>
    <t>【記入例】コンプレッサーの更新</t>
    <phoneticPr fontId="6"/>
  </si>
  <si>
    <t>IE4</t>
  </si>
  <si>
    <t>2極</t>
  </si>
  <si>
    <t>【記入例】変圧器の更新</t>
    <rPh sb="5" eb="8">
      <t>ヘンアツキ</t>
    </rPh>
    <rPh sb="9" eb="11">
      <t>コウシン</t>
    </rPh>
    <phoneticPr fontId="6"/>
  </si>
  <si>
    <t>6.6kV→210V</t>
  </si>
  <si>
    <t>単相</t>
  </si>
  <si>
    <t>6.6KV→210/105V</t>
  </si>
  <si>
    <t>三相</t>
  </si>
  <si>
    <t>※必要に応じて記載（本欄に上書き）してください。</t>
    <phoneticPr fontId="6"/>
  </si>
  <si>
    <t>動力、150KVA</t>
    <phoneticPr fontId="6"/>
  </si>
  <si>
    <t>電灯、30KVA</t>
    <rPh sb="0" eb="2">
      <t>デントウ</t>
    </rPh>
    <phoneticPr fontId="6"/>
  </si>
  <si>
    <t>AB-1C</t>
    <phoneticPr fontId="6"/>
  </si>
  <si>
    <t>DE-3F</t>
    <phoneticPr fontId="6"/>
  </si>
  <si>
    <t>AC-123CD</t>
    <phoneticPr fontId="6"/>
  </si>
  <si>
    <t>EF-456GH</t>
    <phoneticPr fontId="6"/>
  </si>
  <si>
    <t>JK-789LMN</t>
    <phoneticPr fontId="6"/>
  </si>
  <si>
    <t>OP-12QR</t>
    <phoneticPr fontId="6"/>
  </si>
  <si>
    <t>ST-4UV</t>
    <phoneticPr fontId="6"/>
  </si>
  <si>
    <t>WX-56YZ</t>
    <phoneticPr fontId="6"/>
  </si>
  <si>
    <t>原油換算削減量</t>
    <rPh sb="2" eb="4">
      <t>カンサン</t>
    </rPh>
    <phoneticPr fontId="6"/>
  </si>
  <si>
    <t>※事業計画書の削減効果は、算定総括の削減量（黄色のセル）の値を反映してください。</t>
    <rPh sb="1" eb="6">
      <t>ジギョウケイカクショ</t>
    </rPh>
    <rPh sb="7" eb="11">
      <t>サクゲンコウカ</t>
    </rPh>
    <rPh sb="13" eb="15">
      <t>サンテイ</t>
    </rPh>
    <rPh sb="29" eb="30">
      <t>アタイ</t>
    </rPh>
    <rPh sb="31" eb="33">
      <t>ハンエイ</t>
    </rPh>
    <phoneticPr fontId="6"/>
  </si>
  <si>
    <t>HP老朽化消費倍率(p) (2%/年）</t>
    <rPh sb="2" eb="4">
      <t>ロウキュウ</t>
    </rPh>
    <rPh sb="7" eb="9">
      <t>バイリツ</t>
    </rPh>
    <phoneticPr fontId="6"/>
  </si>
  <si>
    <t>10～12</t>
    <phoneticPr fontId="6"/>
  </si>
  <si>
    <t>8～12</t>
    <phoneticPr fontId="6"/>
  </si>
  <si>
    <t>9～12</t>
    <phoneticPr fontId="6"/>
  </si>
  <si>
    <t>SII仕様上は負荷率0</t>
    <rPh sb="3" eb="6">
      <t>シヨウジョウ</t>
    </rPh>
    <rPh sb="7" eb="10">
      <t>フカリツ</t>
    </rPh>
    <phoneticPr fontId="6"/>
  </si>
  <si>
    <t>照明の更新</t>
    <phoneticPr fontId="6"/>
  </si>
  <si>
    <t>令和7年度：排出量削減効果算定シート</t>
    <rPh sb="0" eb="2">
      <t>レイワ</t>
    </rPh>
    <rPh sb="3" eb="5">
      <t>ネンド</t>
    </rPh>
    <phoneticPr fontId="6"/>
  </si>
  <si>
    <t>店舗・工場等</t>
    <phoneticPr fontId="6"/>
  </si>
  <si>
    <t>人感センサ点灯率(r1)</t>
    <rPh sb="5" eb="7">
      <t>テントウ</t>
    </rPh>
    <rPh sb="7" eb="8">
      <t>リツ</t>
    </rPh>
    <phoneticPr fontId="6"/>
  </si>
  <si>
    <t>人感センサ点灯率(r2)</t>
    <rPh sb="0" eb="2">
      <t>ジンカン</t>
    </rPh>
    <rPh sb="5" eb="7">
      <t>テントウ</t>
    </rPh>
    <rPh sb="7" eb="8">
      <t>リツ</t>
    </rPh>
    <phoneticPr fontId="6"/>
  </si>
  <si>
    <t>人感センサ有無</t>
    <rPh sb="0" eb="2">
      <t>ジンカン</t>
    </rPh>
    <rPh sb="5" eb="7">
      <t>ウム</t>
    </rPh>
    <phoneticPr fontId="6"/>
  </si>
  <si>
    <t>人感センサ点灯率(r1)</t>
    <rPh sb="0" eb="2">
      <t>ジンカン</t>
    </rPh>
    <rPh sb="5" eb="7">
      <t>テントウ</t>
    </rPh>
    <rPh sb="7" eb="8">
      <t>リツ</t>
    </rPh>
    <phoneticPr fontId="6"/>
  </si>
  <si>
    <t>転記</t>
    <rPh sb="0" eb="2">
      <t>テンキ</t>
    </rPh>
    <phoneticPr fontId="6"/>
  </si>
  <si>
    <t>転記：「空調シート」の「台数×定格消費×日使用時間」</t>
    <rPh sb="4" eb="6">
      <t>クウチョウ</t>
    </rPh>
    <rPh sb="12" eb="14">
      <t>ダイスウ</t>
    </rPh>
    <rPh sb="15" eb="17">
      <t>テイカク</t>
    </rPh>
    <rPh sb="17" eb="19">
      <t>ショウヒ</t>
    </rPh>
    <rPh sb="20" eb="23">
      <t>ニチシヨウ</t>
    </rPh>
    <rPh sb="23" eb="25">
      <t>ジカン</t>
    </rPh>
    <phoneticPr fontId="6"/>
  </si>
  <si>
    <t>転記</t>
    <phoneticPr fontId="6"/>
  </si>
  <si>
    <t>転記：「空調シート」の「台数×定格消費電力×日使用時間」</t>
    <rPh sb="4" eb="6">
      <t>クウチョウ</t>
    </rPh>
    <rPh sb="12" eb="14">
      <t>ダイスウ</t>
    </rPh>
    <rPh sb="15" eb="21">
      <t>テイカクショウヒデンリョク</t>
    </rPh>
    <rPh sb="22" eb="25">
      <t>ニチシヨウ</t>
    </rPh>
    <rPh sb="25" eb="27">
      <t>ジカン</t>
    </rPh>
    <phoneticPr fontId="6"/>
  </si>
  <si>
    <t>原油換算削減量</t>
  </si>
  <si>
    <t>原油換算削減量</t>
    <rPh sb="0" eb="2">
      <t>ゲンユ</t>
    </rPh>
    <rPh sb="2" eb="4">
      <t>カンサン</t>
    </rPh>
    <rPh sb="4" eb="6">
      <t>サクゲン</t>
    </rPh>
    <rPh sb="6" eb="7">
      <t>リョウ</t>
    </rPh>
    <phoneticPr fontId="6"/>
  </si>
  <si>
    <t>事項</t>
    <rPh sb="0" eb="2">
      <t>ジコウ</t>
    </rPh>
    <phoneticPr fontId="6"/>
  </si>
  <si>
    <t>シート</t>
    <phoneticPr fontId="6"/>
  </si>
  <si>
    <t>セル</t>
    <phoneticPr fontId="6"/>
  </si>
  <si>
    <t>修正</t>
    <rPh sb="0" eb="2">
      <t>シュウセイ</t>
    </rPh>
    <phoneticPr fontId="6"/>
  </si>
  <si>
    <t>エネルギー使用量</t>
    <phoneticPr fontId="6"/>
  </si>
  <si>
    <t>問題点</t>
    <rPh sb="0" eb="3">
      <t>モンダイテン</t>
    </rPh>
    <phoneticPr fontId="6"/>
  </si>
  <si>
    <t>更新・修正内容</t>
    <rPh sb="0" eb="2">
      <t>コウシン</t>
    </rPh>
    <rPh sb="3" eb="5">
      <t>シュウセイ</t>
    </rPh>
    <rPh sb="5" eb="7">
      <t>ナイヨウ</t>
    </rPh>
    <phoneticPr fontId="6"/>
  </si>
  <si>
    <t>備考</t>
    <rPh sb="0" eb="2">
      <t>ビコウ</t>
    </rPh>
    <phoneticPr fontId="6"/>
  </si>
  <si>
    <t>「参考_エネルギー使用量」と改題され、シート右手側へ移動していた。</t>
    <rPh sb="1" eb="3">
      <t>サンコウ</t>
    </rPh>
    <rPh sb="9" eb="12">
      <t>シヨウリョウ</t>
    </rPh>
    <rPh sb="14" eb="16">
      <t>カイダイ</t>
    </rPh>
    <rPh sb="22" eb="25">
      <t>ミギテガワ</t>
    </rPh>
    <rPh sb="26" eb="28">
      <t>イドウ</t>
    </rPh>
    <phoneticPr fontId="6"/>
  </si>
  <si>
    <t>「エネルギー使用量」とシート名を改め、一番左手の初めのシートへ移動した。</t>
    <rPh sb="14" eb="15">
      <t>メイ</t>
    </rPh>
    <rPh sb="16" eb="17">
      <t>アラタ</t>
    </rPh>
    <rPh sb="19" eb="23">
      <t>イチバンヒダリテ</t>
    </rPh>
    <rPh sb="24" eb="25">
      <t>ハジ</t>
    </rPh>
    <rPh sb="31" eb="33">
      <t>イドウ</t>
    </rPh>
    <phoneticPr fontId="6"/>
  </si>
  <si>
    <t>年月日</t>
    <rPh sb="0" eb="3">
      <t>ネンガッピ</t>
    </rPh>
    <phoneticPr fontId="6"/>
  </si>
  <si>
    <t>全般</t>
    <rPh sb="0" eb="2">
      <t>ゼンパン</t>
    </rPh>
    <phoneticPr fontId="6"/>
  </si>
  <si>
    <t>M529（照明）</t>
    <rPh sb="5" eb="7">
      <t>ショウメイ</t>
    </rPh>
    <phoneticPr fontId="6"/>
  </si>
  <si>
    <t>B7（照明）</t>
    <rPh sb="3" eb="5">
      <t>ショウメイ</t>
    </rPh>
    <phoneticPr fontId="6"/>
  </si>
  <si>
    <t>更新</t>
    <rPh sb="0" eb="2">
      <t>コウシン</t>
    </rPh>
    <phoneticPr fontId="6"/>
  </si>
  <si>
    <t>空調負荷率</t>
    <phoneticPr fontId="6"/>
  </si>
  <si>
    <t>R10～29
AB10～29</t>
    <phoneticPr fontId="6"/>
  </si>
  <si>
    <t>参考元の「SII」算定では負荷率が「0」の月があり、負荷率0の月は日数が加味されない（削減効果に加味しない）仕様だった。</t>
    <rPh sb="0" eb="3">
      <t>サンコウモト</t>
    </rPh>
    <rPh sb="9" eb="11">
      <t>サンテイ</t>
    </rPh>
    <rPh sb="13" eb="15">
      <t>フカ</t>
    </rPh>
    <rPh sb="15" eb="16">
      <t>リツ</t>
    </rPh>
    <rPh sb="21" eb="22">
      <t>ツキ</t>
    </rPh>
    <rPh sb="26" eb="28">
      <t>フカ</t>
    </rPh>
    <rPh sb="28" eb="29">
      <t>リツ</t>
    </rPh>
    <rPh sb="31" eb="32">
      <t>ツキ</t>
    </rPh>
    <rPh sb="33" eb="35">
      <t>ニッスウ</t>
    </rPh>
    <rPh sb="36" eb="38">
      <t>カミ</t>
    </rPh>
    <rPh sb="43" eb="45">
      <t>サクゲン</t>
    </rPh>
    <rPh sb="45" eb="47">
      <t>コウカ</t>
    </rPh>
    <rPh sb="48" eb="50">
      <t>カミ</t>
    </rPh>
    <rPh sb="54" eb="56">
      <t>シヨウ</t>
    </rPh>
    <phoneticPr fontId="6"/>
  </si>
  <si>
    <t>I34～52</t>
    <phoneticPr fontId="6"/>
  </si>
  <si>
    <t>I32
Y32
など</t>
    <phoneticPr fontId="6"/>
  </si>
  <si>
    <t>加味していなかった日数が削減効果に加わるよう、該当列にその日数を追加。（90日なら、月毎に振り分けず、1セルに追加。）</t>
    <rPh sb="0" eb="2">
      <t>カミ</t>
    </rPh>
    <rPh sb="9" eb="11">
      <t>ニッスウ</t>
    </rPh>
    <rPh sb="12" eb="16">
      <t>サクゲンコウカ</t>
    </rPh>
    <rPh sb="17" eb="18">
      <t>クワ</t>
    </rPh>
    <rPh sb="23" eb="26">
      <t>ガイトウレツ</t>
    </rPh>
    <rPh sb="29" eb="31">
      <t>ニッスウ</t>
    </rPh>
    <rPh sb="32" eb="34">
      <t>ツイカ</t>
    </rPh>
    <rPh sb="38" eb="39">
      <t>ニチ</t>
    </rPh>
    <rPh sb="42" eb="44">
      <t>ツキゴト</t>
    </rPh>
    <rPh sb="45" eb="46">
      <t>フ</t>
    </rPh>
    <rPh sb="47" eb="48">
      <t>ワ</t>
    </rPh>
    <rPh sb="55" eb="57">
      <t>ツイカ</t>
    </rPh>
    <phoneticPr fontId="6"/>
  </si>
  <si>
    <t>空調シートにて「台数×定格消費×日使用時間」と計算した値を転記する列の項目名を「乗算」としていたが、何を指して乗算なのか分かり辛かった。</t>
    <rPh sb="0" eb="2">
      <t>クウチョウ</t>
    </rPh>
    <rPh sb="23" eb="25">
      <t>ケイサン</t>
    </rPh>
    <rPh sb="27" eb="28">
      <t>アタイ</t>
    </rPh>
    <rPh sb="29" eb="31">
      <t>テンキ</t>
    </rPh>
    <rPh sb="33" eb="34">
      <t>レツ</t>
    </rPh>
    <rPh sb="35" eb="38">
      <t>コウモクメイ</t>
    </rPh>
    <rPh sb="40" eb="42">
      <t>ジョウザン</t>
    </rPh>
    <rPh sb="50" eb="51">
      <t>ナニ</t>
    </rPh>
    <rPh sb="52" eb="53">
      <t>サ</t>
    </rPh>
    <rPh sb="55" eb="57">
      <t>ジョウザン</t>
    </rPh>
    <rPh sb="60" eb="61">
      <t>ワ</t>
    </rPh>
    <rPh sb="63" eb="64">
      <t>ヅラ</t>
    </rPh>
    <phoneticPr fontId="6"/>
  </si>
  <si>
    <t>項目名を「転記」と改めた。</t>
    <rPh sb="0" eb="3">
      <t>コウモクメイ</t>
    </rPh>
    <rPh sb="5" eb="7">
      <t>テンキ</t>
    </rPh>
    <rPh sb="9" eb="10">
      <t>アラタ</t>
    </rPh>
    <phoneticPr fontId="6"/>
  </si>
  <si>
    <t>I33～52にて数式に抜けがあり、I33だけしか修正されていなかった。</t>
    <rPh sb="8" eb="10">
      <t>スウシキ</t>
    </rPh>
    <rPh sb="11" eb="12">
      <t>ヌ</t>
    </rPh>
    <rPh sb="24" eb="26">
      <t>シュウセイ</t>
    </rPh>
    <phoneticPr fontId="6"/>
  </si>
  <si>
    <t>I34～52へI33の修正を反映</t>
    <rPh sb="11" eb="13">
      <t>シュウセイ</t>
    </rPh>
    <rPh sb="14" eb="16">
      <t>ハンエイ</t>
    </rPh>
    <phoneticPr fontId="6"/>
  </si>
  <si>
    <t>Z94～AK98</t>
    <phoneticPr fontId="6"/>
  </si>
  <si>
    <t>数式の参照先の1つがずれていて、例えばY94からI94に参照がずれていた。（暖房の計算要素を参照すべきところ、冷房の同要素を参照していた。）</t>
    <rPh sb="0" eb="2">
      <t>スウシキ</t>
    </rPh>
    <rPh sb="3" eb="6">
      <t>サンショウサキ</t>
    </rPh>
    <rPh sb="16" eb="17">
      <t>タト</t>
    </rPh>
    <rPh sb="28" eb="30">
      <t>サンショウ</t>
    </rPh>
    <rPh sb="38" eb="40">
      <t>ダンボウ</t>
    </rPh>
    <rPh sb="41" eb="45">
      <t>ケイサンヨウソ</t>
    </rPh>
    <rPh sb="46" eb="48">
      <t>サンショウ</t>
    </rPh>
    <rPh sb="55" eb="57">
      <t>レイボウ</t>
    </rPh>
    <rPh sb="58" eb="59">
      <t>ドウ</t>
    </rPh>
    <rPh sb="59" eb="61">
      <t>ヨウソ</t>
    </rPh>
    <rPh sb="62" eb="64">
      <t>サンショウ</t>
    </rPh>
    <phoneticPr fontId="6"/>
  </si>
  <si>
    <t>正しい参照先へ修正。</t>
    <rPh sb="0" eb="1">
      <t>タダ</t>
    </rPh>
    <rPh sb="3" eb="6">
      <t>サンショウサキ</t>
    </rPh>
    <rPh sb="7" eb="9">
      <t>シュウセイ</t>
    </rPh>
    <phoneticPr fontId="6"/>
  </si>
  <si>
    <t>AU32～BY52
AU55～BY75</t>
    <phoneticPr fontId="6"/>
  </si>
  <si>
    <t>「APFでの削減効果」について、2024年度の仕様だと劣化率が大きく加味される仕様だった。</t>
    <rPh sb="6" eb="8">
      <t>サクゲン</t>
    </rPh>
    <rPh sb="8" eb="10">
      <t>コウカ</t>
    </rPh>
    <rPh sb="20" eb="22">
      <t>ネンド</t>
    </rPh>
    <rPh sb="23" eb="25">
      <t>シヨウ</t>
    </rPh>
    <rPh sb="27" eb="30">
      <t>レッカリツ</t>
    </rPh>
    <rPh sb="31" eb="32">
      <t>オオ</t>
    </rPh>
    <rPh sb="34" eb="36">
      <t>カミ</t>
    </rPh>
    <rPh sb="39" eb="41">
      <t>シヨウ</t>
    </rPh>
    <phoneticPr fontId="6"/>
  </si>
  <si>
    <t>削減効果の算定式
2024仕様：更新前消費電力×（1-（更新前APF÷劣化率）÷更新後APF）
2025仕様：更新前消費電力×劣化率×（1-更新前APF÷更新後APF）</t>
    <rPh sb="0" eb="4">
      <t>サクゲンコウカ</t>
    </rPh>
    <rPh sb="5" eb="8">
      <t>サンテイシキ</t>
    </rPh>
    <rPh sb="13" eb="15">
      <t>シヨウ</t>
    </rPh>
    <rPh sb="16" eb="19">
      <t>コウシンマエ</t>
    </rPh>
    <rPh sb="19" eb="23">
      <t>ショウヒデンリョク</t>
    </rPh>
    <rPh sb="28" eb="31">
      <t>コウシンマエ</t>
    </rPh>
    <rPh sb="35" eb="38">
      <t>レッカリツ</t>
    </rPh>
    <rPh sb="40" eb="43">
      <t>コウシンゴ</t>
    </rPh>
    <rPh sb="63" eb="66">
      <t>レッカリツ</t>
    </rPh>
    <rPh sb="70" eb="73">
      <t>コウシンマエ</t>
    </rPh>
    <rPh sb="77" eb="80">
      <t>コウシンゴ</t>
    </rPh>
    <phoneticPr fontId="6"/>
  </si>
  <si>
    <t>劣化率の影響が小さい算定式へ改修。</t>
    <rPh sb="0" eb="3">
      <t>レッカリツ</t>
    </rPh>
    <rPh sb="4" eb="6">
      <t>エイキョウ</t>
    </rPh>
    <rPh sb="7" eb="8">
      <t>チイ</t>
    </rPh>
    <rPh sb="10" eb="13">
      <t>サンテイシキ</t>
    </rPh>
    <rPh sb="14" eb="16">
      <t>カイシュウ</t>
    </rPh>
    <phoneticPr fontId="6"/>
  </si>
  <si>
    <t>冷房</t>
    <rPh sb="0" eb="2">
      <t>レイボウ</t>
    </rPh>
    <phoneticPr fontId="6"/>
  </si>
  <si>
    <t>暖房</t>
    <rPh sb="0" eb="2">
      <t>ダンボウ</t>
    </rPh>
    <phoneticPr fontId="6"/>
  </si>
  <si>
    <t>負荷率（年間）</t>
    <rPh sb="0" eb="3">
      <t>フカリツ</t>
    </rPh>
    <rPh sb="4" eb="6">
      <t>ネンカン</t>
    </rPh>
    <phoneticPr fontId="6"/>
  </si>
  <si>
    <t>空調</t>
    <rPh sb="0" eb="2">
      <t>クウチョウ</t>
    </rPh>
    <phoneticPr fontId="6"/>
  </si>
  <si>
    <t>I14～J16
I53～J55</t>
    <phoneticPr fontId="6"/>
  </si>
  <si>
    <t>空調負荷率は別シートの「空調負荷率（非公開）」で計算する仕様に変更していて、制度側でしか変更できない仕様だった。</t>
    <rPh sb="0" eb="2">
      <t>クウチョウ</t>
    </rPh>
    <rPh sb="2" eb="5">
      <t>フカリツ</t>
    </rPh>
    <rPh sb="6" eb="7">
      <t>ベツ</t>
    </rPh>
    <rPh sb="12" eb="17">
      <t>クウチョウフカリツ</t>
    </rPh>
    <rPh sb="18" eb="21">
      <t>ヒコウカイ</t>
    </rPh>
    <rPh sb="24" eb="26">
      <t>ケイサン</t>
    </rPh>
    <rPh sb="28" eb="30">
      <t>シヨウ</t>
    </rPh>
    <rPh sb="31" eb="33">
      <t>ヘンコウ</t>
    </rPh>
    <rPh sb="38" eb="41">
      <t>セイドガワ</t>
    </rPh>
    <rPh sb="44" eb="46">
      <t>ヘンコウ</t>
    </rPh>
    <rPh sb="50" eb="52">
      <t>シヨウ</t>
    </rPh>
    <phoneticPr fontId="6"/>
  </si>
  <si>
    <t>空調シートに負荷率の記載欄を再実装し、記入例等も追加した。</t>
    <rPh sb="0" eb="2">
      <t>クウチョウ</t>
    </rPh>
    <rPh sb="6" eb="9">
      <t>フカリツ</t>
    </rPh>
    <rPh sb="10" eb="13">
      <t>キサイラン</t>
    </rPh>
    <rPh sb="14" eb="17">
      <t>サイジッソウ</t>
    </rPh>
    <rPh sb="19" eb="23">
      <t>キニュウレイトウ</t>
    </rPh>
    <rPh sb="24" eb="26">
      <t>ツイカ</t>
    </rPh>
    <phoneticPr fontId="6"/>
  </si>
  <si>
    <t>併せて、「シート空調負荷率：セル4～5行目、負荷率の欄」にて、空調シートの負荷率を参照する数式に更新しました。</t>
    <rPh sb="0" eb="1">
      <t>アワ</t>
    </rPh>
    <rPh sb="19" eb="21">
      <t>ギョウメ</t>
    </rPh>
    <rPh sb="22" eb="25">
      <t>フカリツ</t>
    </rPh>
    <rPh sb="26" eb="27">
      <t>ラン</t>
    </rPh>
    <rPh sb="31" eb="33">
      <t>クウチョウ</t>
    </rPh>
    <rPh sb="37" eb="40">
      <t>フカリツ</t>
    </rPh>
    <rPh sb="41" eb="43">
      <t>サンショウ</t>
    </rPh>
    <rPh sb="45" eb="47">
      <t>スウシキ</t>
    </rPh>
    <rPh sb="48" eb="50">
      <t>コウシン</t>
    </rPh>
    <phoneticPr fontId="6"/>
  </si>
  <si>
    <t>O13</t>
    <phoneticPr fontId="6"/>
  </si>
  <si>
    <t>ボイラー・給湯器</t>
    <rPh sb="5" eb="8">
      <t>キュウトウキ</t>
    </rPh>
    <phoneticPr fontId="6"/>
  </si>
  <si>
    <t>負荷率の定義づけがされていなかった。</t>
    <rPh sb="0" eb="3">
      <t>フカリツ</t>
    </rPh>
    <rPh sb="4" eb="6">
      <t>テイギ</t>
    </rPh>
    <phoneticPr fontId="6"/>
  </si>
  <si>
    <t>記入例として、負荷率の求め方（定義づけ）を追加した。</t>
    <rPh sb="0" eb="3">
      <t>キニュウレイ</t>
    </rPh>
    <rPh sb="7" eb="10">
      <t>フカリツ</t>
    </rPh>
    <rPh sb="11" eb="12">
      <t>モト</t>
    </rPh>
    <rPh sb="13" eb="14">
      <t>カタ</t>
    </rPh>
    <rPh sb="15" eb="17">
      <t>テイギ</t>
    </rPh>
    <rPh sb="21" eb="23">
      <t>ツイカ</t>
    </rPh>
    <phoneticPr fontId="6"/>
  </si>
  <si>
    <t>コンプレッサー</t>
    <phoneticPr fontId="6"/>
  </si>
  <si>
    <t>K59</t>
    <phoneticPr fontId="6"/>
  </si>
  <si>
    <t>ボイラー・給湯</t>
    <rPh sb="5" eb="7">
      <t>キュウトウ</t>
    </rPh>
    <phoneticPr fontId="6"/>
  </si>
  <si>
    <t>原油換算量</t>
  </si>
  <si>
    <t>原油換算量</t>
    <phoneticPr fontId="6"/>
  </si>
  <si>
    <t>排出量の原油換算を指す項目名が「原油換算量」や「原油換算エネルギー使用量」、「原油削減量」など、表記ブレや誤表記があった。</t>
    <rPh sb="0" eb="3">
      <t>ハイシュツリョウ</t>
    </rPh>
    <rPh sb="4" eb="8">
      <t>ゲンユカンサン</t>
    </rPh>
    <rPh sb="9" eb="10">
      <t>サ</t>
    </rPh>
    <rPh sb="11" eb="14">
      <t>コウモクメイ</t>
    </rPh>
    <rPh sb="24" eb="28">
      <t>ゲンユカンサン</t>
    </rPh>
    <rPh sb="33" eb="36">
      <t>シヨウリョウ</t>
    </rPh>
    <rPh sb="48" eb="50">
      <t>ヒョウキ</t>
    </rPh>
    <rPh sb="53" eb="56">
      <t>ゴヒョウキ</t>
    </rPh>
    <phoneticPr fontId="6"/>
  </si>
  <si>
    <t>削減効果の総括の欄の項目名が「原油換算エネルギー使用量」となっており、同項目を指す「原油換算量」と表記ブレしていた。</t>
    <rPh sb="0" eb="4">
      <t>サクゲンコウカ</t>
    </rPh>
    <rPh sb="5" eb="7">
      <t>ソウカツ</t>
    </rPh>
    <rPh sb="8" eb="9">
      <t>ラン</t>
    </rPh>
    <rPh sb="10" eb="13">
      <t>コウモクメイ</t>
    </rPh>
    <rPh sb="35" eb="38">
      <t>ドウコウモク</t>
    </rPh>
    <rPh sb="39" eb="40">
      <t>サ</t>
    </rPh>
    <rPh sb="49" eb="51">
      <t>ヒョウキ</t>
    </rPh>
    <phoneticPr fontId="6"/>
  </si>
  <si>
    <t>「原油換算排出量」へ統一するよう修正。</t>
    <rPh sb="5" eb="7">
      <t>ハイシュツ</t>
    </rPh>
    <rPh sb="10" eb="12">
      <t>トウイツ</t>
    </rPh>
    <rPh sb="16" eb="18">
      <t>シュウセイ</t>
    </rPh>
    <phoneticPr fontId="6"/>
  </si>
  <si>
    <t>「原油換算排出量」へ統一するよう修正。</t>
    <rPh sb="5" eb="8">
      <t>ハイシュツリョウ</t>
    </rPh>
    <rPh sb="10" eb="12">
      <t>トウイツ</t>
    </rPh>
    <rPh sb="16" eb="18">
      <t>シュウセイ</t>
    </rPh>
    <phoneticPr fontId="6"/>
  </si>
  <si>
    <t>係数</t>
    <rPh sb="0" eb="2">
      <t>ケイスウ</t>
    </rPh>
    <phoneticPr fontId="6"/>
  </si>
  <si>
    <t>C列</t>
    <rPh sb="1" eb="2">
      <t>レツ</t>
    </rPh>
    <phoneticPr fontId="6"/>
  </si>
  <si>
    <t>単位発熱量に2024年改定前の古いものがあった。</t>
    <rPh sb="0" eb="5">
      <t>タンイハツネツリョウ</t>
    </rPh>
    <rPh sb="10" eb="11">
      <t>ネン</t>
    </rPh>
    <rPh sb="11" eb="14">
      <t>カイテイマエ</t>
    </rPh>
    <rPh sb="15" eb="16">
      <t>フル</t>
    </rPh>
    <phoneticPr fontId="6"/>
  </si>
  <si>
    <t>全般</t>
    <rPh sb="0" eb="2">
      <t>ゼンパン</t>
    </rPh>
    <phoneticPr fontId="6"/>
  </si>
  <si>
    <t>照明B7等</t>
    <rPh sb="0" eb="2">
      <t>ショウメイ</t>
    </rPh>
    <rPh sb="4" eb="5">
      <t>ナド</t>
    </rPh>
    <phoneticPr fontId="6"/>
  </si>
  <si>
    <t>「原油換算排出量」という表現は適切と言い難かった。</t>
    <rPh sb="12" eb="14">
      <t>ヒョウゲン</t>
    </rPh>
    <rPh sb="15" eb="17">
      <t>テキセツ</t>
    </rPh>
    <rPh sb="18" eb="19">
      <t>イ</t>
    </rPh>
    <rPh sb="20" eb="21">
      <t>ガタ</t>
    </rPh>
    <phoneticPr fontId="6"/>
  </si>
  <si>
    <t>「原油換算量」へ統一して修正。</t>
    <rPh sb="1" eb="6">
      <t>ゲンユカンサンリョウ</t>
    </rPh>
    <phoneticPr fontId="6"/>
  </si>
  <si>
    <t>ボイラー・給湯器</t>
    <phoneticPr fontId="6"/>
  </si>
  <si>
    <t>AG列</t>
    <rPh sb="2" eb="3">
      <t>レツ</t>
    </rPh>
    <phoneticPr fontId="6"/>
  </si>
  <si>
    <t>日稼働時間(t)</t>
    <rPh sb="0" eb="1">
      <t>ニチ</t>
    </rPh>
    <rPh sb="1" eb="3">
      <t>カドウ</t>
    </rPh>
    <rPh sb="3" eb="5">
      <t>ジカン</t>
    </rPh>
    <phoneticPr fontId="6"/>
  </si>
  <si>
    <t>年間稼働時間(t)</t>
    <rPh sb="0" eb="2">
      <t>ネンカン</t>
    </rPh>
    <rPh sb="2" eb="4">
      <t>カドウ</t>
    </rPh>
    <phoneticPr fontId="6"/>
  </si>
  <si>
    <t>年間稼働時間(t')</t>
    <rPh sb="0" eb="2">
      <t>ネンカン</t>
    </rPh>
    <rPh sb="2" eb="4">
      <t>カドウ</t>
    </rPh>
    <phoneticPr fontId="6"/>
  </si>
  <si>
    <t>書式設定が「ユーザー定義の％表示」になっており、例えば2000％といった表示になっていた。</t>
    <rPh sb="0" eb="4">
      <t>ショシキセッテイ</t>
    </rPh>
    <rPh sb="10" eb="12">
      <t>テイギ</t>
    </rPh>
    <rPh sb="14" eb="16">
      <t>ヒョウジ</t>
    </rPh>
    <rPh sb="24" eb="25">
      <t>タト</t>
    </rPh>
    <rPh sb="36" eb="38">
      <t>ヒョウジ</t>
    </rPh>
    <phoneticPr fontId="6"/>
  </si>
  <si>
    <t>書式設定を「パーセント」表記に修正した。</t>
    <rPh sb="0" eb="4">
      <t>ショシキセッテイ</t>
    </rPh>
    <rPh sb="12" eb="14">
      <t>ヒョウキ</t>
    </rPh>
    <rPh sb="15" eb="17">
      <t>シュウセイ</t>
    </rPh>
    <phoneticPr fontId="6"/>
  </si>
  <si>
    <t>kcal</t>
    <phoneticPr fontId="6"/>
  </si>
  <si>
    <t>kW</t>
    <phoneticPr fontId="6"/>
  </si>
  <si>
    <t>参考：kcal→kW換算</t>
    <rPh sb="0" eb="2">
      <t>サンコウ</t>
    </rPh>
    <rPh sb="10" eb="12">
      <t>カンサン</t>
    </rPh>
    <phoneticPr fontId="6"/>
  </si>
  <si>
    <t>1kcal/h=1.163W</t>
    <phoneticPr fontId="6"/>
  </si>
  <si>
    <t>修正</t>
    <rPh sb="0" eb="2">
      <t>シュウセイ</t>
    </rPh>
    <phoneticPr fontId="6"/>
  </si>
  <si>
    <t>変圧器</t>
    <rPh sb="0" eb="3">
      <t>ヘンアツキ</t>
    </rPh>
    <phoneticPr fontId="6"/>
  </si>
  <si>
    <t>W列</t>
    <rPh sb="1" eb="2">
      <t>レツ</t>
    </rPh>
    <phoneticPr fontId="6"/>
  </si>
  <si>
    <t>更新後の年間仕様時間（日使用×年一数）の参照先が、更新前の年使用日数に参照先がずれていた。</t>
    <rPh sb="0" eb="3">
      <t>コウシンゴ</t>
    </rPh>
    <rPh sb="4" eb="6">
      <t>ネンカン</t>
    </rPh>
    <rPh sb="6" eb="8">
      <t>シヨウ</t>
    </rPh>
    <rPh sb="8" eb="10">
      <t>ジカン</t>
    </rPh>
    <rPh sb="11" eb="12">
      <t>ヒ</t>
    </rPh>
    <rPh sb="12" eb="14">
      <t>シヨウ</t>
    </rPh>
    <rPh sb="15" eb="16">
      <t>ネン</t>
    </rPh>
    <rPh sb="16" eb="17">
      <t>イチ</t>
    </rPh>
    <rPh sb="17" eb="18">
      <t>スウ</t>
    </rPh>
    <rPh sb="20" eb="23">
      <t>サンショウサキ</t>
    </rPh>
    <rPh sb="25" eb="28">
      <t>コウシンマエ</t>
    </rPh>
    <rPh sb="29" eb="34">
      <t>ネンシヨウニッスウ</t>
    </rPh>
    <rPh sb="35" eb="38">
      <t>サンショウサキ</t>
    </rPh>
    <phoneticPr fontId="6"/>
  </si>
  <si>
    <t>「更新後の年間仕様時間＝更新前の年間仕様時間」へ参照先を修正。</t>
    <rPh sb="14" eb="15">
      <t>マエ</t>
    </rPh>
    <rPh sb="24" eb="27">
      <t>サンショウサキ</t>
    </rPh>
    <rPh sb="28" eb="30">
      <t>シュウセイ</t>
    </rPh>
    <phoneticPr fontId="6"/>
  </si>
  <si>
    <t>空調</t>
    <rPh sb="0" eb="2">
      <t>クウチョウ</t>
    </rPh>
    <phoneticPr fontId="6"/>
  </si>
  <si>
    <t>I4～J7</t>
    <phoneticPr fontId="6"/>
  </si>
  <si>
    <t>kcal→kW換算を提示しておらず、申請書類にて誤っているケースがあった。</t>
    <rPh sb="7" eb="9">
      <t>カンサン</t>
    </rPh>
    <rPh sb="10" eb="12">
      <t>テイジ</t>
    </rPh>
    <rPh sb="18" eb="22">
      <t>シンセイショルイ</t>
    </rPh>
    <rPh sb="24" eb="25">
      <t>アヤマ</t>
    </rPh>
    <phoneticPr fontId="6"/>
  </si>
  <si>
    <t>kcal→kWの換算式（表）を追加。</t>
    <rPh sb="8" eb="10">
      <t>カンサン</t>
    </rPh>
    <rPh sb="10" eb="11">
      <t>シキ</t>
    </rPh>
    <rPh sb="12" eb="13">
      <t>ヒョウ</t>
    </rPh>
    <rPh sb="15" eb="17">
      <t>ツイカ</t>
    </rPh>
    <phoneticPr fontId="6"/>
  </si>
  <si>
    <r>
      <rPr>
        <b/>
        <sz val="11"/>
        <rFont val="游ゴシック"/>
        <family val="3"/>
        <charset val="128"/>
        <scheme val="minor"/>
      </rPr>
      <t>記入必須</t>
    </r>
    <r>
      <rPr>
        <sz val="11"/>
        <rFont val="游ゴシック"/>
        <family val="3"/>
        <charset val="128"/>
        <scheme val="minor"/>
      </rPr>
      <t>：事業所のエネルギー使用量</t>
    </r>
    <rPh sb="0" eb="4">
      <t>キニュウヒッス</t>
    </rPh>
    <rPh sb="5" eb="8">
      <t>ジギョウショ</t>
    </rPh>
    <rPh sb="14" eb="17">
      <t>シヨウリョウ</t>
    </rPh>
    <phoneticPr fontId="6"/>
  </si>
  <si>
    <t>参考</t>
    <rPh sb="0" eb="2">
      <t>サンコウ</t>
    </rPh>
    <phoneticPr fontId="6"/>
  </si>
  <si>
    <t>文言が少なく「事業所のエネルギー使用量」の記載が必要と分かり辛かった。</t>
    <rPh sb="0" eb="2">
      <t>モンゴン</t>
    </rPh>
    <rPh sb="3" eb="4">
      <t>スク</t>
    </rPh>
    <rPh sb="7" eb="10">
      <t>ジギョウショ</t>
    </rPh>
    <rPh sb="16" eb="19">
      <t>シヨウリョウ</t>
    </rPh>
    <rPh sb="21" eb="23">
      <t>キサイ</t>
    </rPh>
    <rPh sb="24" eb="26">
      <t>ヒツヨウ</t>
    </rPh>
    <rPh sb="27" eb="28">
      <t>ワ</t>
    </rPh>
    <rPh sb="30" eb="31">
      <t>ヅラ</t>
    </rPh>
    <phoneticPr fontId="6"/>
  </si>
  <si>
    <r>
      <t>主要エネルギー種類別の</t>
    </r>
    <r>
      <rPr>
        <b/>
        <sz val="11"/>
        <color theme="1"/>
        <rFont val="游ゴシック"/>
        <family val="3"/>
        <charset val="128"/>
        <scheme val="minor"/>
      </rPr>
      <t>年間使用量</t>
    </r>
    <r>
      <rPr>
        <sz val="11"/>
        <color theme="1"/>
        <rFont val="游ゴシック"/>
        <family val="2"/>
        <scheme val="minor"/>
      </rPr>
      <t>と光熱費</t>
    </r>
    <rPh sb="0" eb="2">
      <t>シュヨウ</t>
    </rPh>
    <rPh sb="7" eb="10">
      <t>シュルイベツ</t>
    </rPh>
    <rPh sb="11" eb="13">
      <t>ネンカン</t>
    </rPh>
    <rPh sb="13" eb="16">
      <t>シヨウリョウ</t>
    </rPh>
    <rPh sb="17" eb="20">
      <t>コウネツヒ</t>
    </rPh>
    <phoneticPr fontId="6"/>
  </si>
  <si>
    <t>「記入必須：事業所のエネルギー使用量」など文言の修正や、要点を太字に修正した。</t>
    <rPh sb="1" eb="5">
      <t>キニュウヒッス</t>
    </rPh>
    <rPh sb="6" eb="9">
      <t>ジギョウショ</t>
    </rPh>
    <rPh sb="15" eb="18">
      <t>シヨウリョウ</t>
    </rPh>
    <rPh sb="21" eb="23">
      <t>モンゴン</t>
    </rPh>
    <rPh sb="24" eb="26">
      <t>シュウセイ</t>
    </rPh>
    <rPh sb="28" eb="30">
      <t>ヨウテン</t>
    </rPh>
    <rPh sb="31" eb="33">
      <t>フトジ</t>
    </rPh>
    <rPh sb="34" eb="36">
      <t>シュウセイ</t>
    </rPh>
    <phoneticPr fontId="6"/>
  </si>
  <si>
    <t>I6</t>
    <phoneticPr fontId="6"/>
  </si>
  <si>
    <t>C4</t>
    <phoneticPr fontId="6"/>
  </si>
  <si>
    <t>「kcal→kW」換算の表を追加したが、セルの保護ロックを解除しておらず、記入できなかった。</t>
    <rPh sb="9" eb="11">
      <t>カンサン</t>
    </rPh>
    <rPh sb="12" eb="13">
      <t>ヒョウ</t>
    </rPh>
    <rPh sb="14" eb="16">
      <t>ツイカ</t>
    </rPh>
    <rPh sb="23" eb="25">
      <t>ホゴ</t>
    </rPh>
    <rPh sb="29" eb="31">
      <t>カイジョ</t>
    </rPh>
    <rPh sb="37" eb="39">
      <t>キニュウ</t>
    </rPh>
    <phoneticPr fontId="6"/>
  </si>
  <si>
    <t>該当セルI6の保護を解除した。</t>
    <rPh sb="0" eb="2">
      <t>ガイトウ</t>
    </rPh>
    <rPh sb="7" eb="9">
      <t>ホゴ</t>
    </rPh>
    <rPh sb="10" eb="12">
      <t>カイジョ</t>
    </rPh>
    <phoneticPr fontId="6"/>
  </si>
  <si>
    <t>照明：B15など</t>
    <rPh sb="0" eb="2">
      <t>ショウメイ</t>
    </rPh>
    <phoneticPr fontId="6"/>
  </si>
  <si>
    <t>記入例へのハイパーリンクを設けていたが、リンクのアドレスが失効していた。</t>
    <rPh sb="0" eb="3">
      <t>キニュウレイ</t>
    </rPh>
    <rPh sb="13" eb="14">
      <t>モウ</t>
    </rPh>
    <rPh sb="29" eb="31">
      <t>シッコウ</t>
    </rPh>
    <phoneticPr fontId="6"/>
  </si>
  <si>
    <t>リンクを再設定したほか、表示に「B15」など該当セルを記載した。</t>
    <rPh sb="4" eb="7">
      <t>サイセッテイ</t>
    </rPh>
    <rPh sb="12" eb="14">
      <t>ヒョウジ</t>
    </rPh>
    <rPh sb="22" eb="24">
      <t>ガイトウ</t>
    </rPh>
    <rPh sb="27" eb="29">
      <t>キサイ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</si>
</sst>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76" formatCode="0_);[Red]\(0\)"/>
    <numFmt numFmtId="177" formatCode="0.0%"/>
    <numFmt numFmtId="178" formatCode="0.0_);[Red]\(0.0\)"/>
    <numFmt numFmtId="179" formatCode="0.000000"/>
    <numFmt numFmtId="180" formatCode="#,##0.0_ "/>
    <numFmt numFmtId="181" formatCode="#,##0.0000_ "/>
    <numFmt numFmtId="182" formatCode="#,##0.00_ "/>
    <numFmt numFmtId="183" formatCode="#,##0.000000_ "/>
    <numFmt numFmtId="184" formatCode="0.0"/>
    <numFmt numFmtId="185" formatCode="0_ "/>
    <numFmt numFmtId="186" formatCode="0.0_ "/>
    <numFmt numFmtId="187" formatCode="#,##0_);[Red]\(#,##0\)"/>
    <numFmt numFmtId="188" formatCode="#,##0.0_ ;[Red]\-#,##0.0\ "/>
    <numFmt numFmtId="189" formatCode="#,##0_ ;[Red]\-#,##0\ "/>
    <numFmt numFmtId="190" formatCode="0.00_ ;[Red]\-0.00\ "/>
    <numFmt numFmtId="191" formatCode="0.00_ "/>
    <numFmt numFmtId="192" formatCode="#,##0.00_);[Red]\(#,##0.00\)"/>
    <numFmt numFmtId="193" formatCode="0.0_ ;[Red]\-0.0\ "/>
    <numFmt numFmtId="194" formatCode="0_ ;[Red]\-0\ "/>
    <numFmt numFmtId="195" formatCode="#,##0.0;[Red]\-#,##0.0"/>
    <numFmt numFmtId="196" formatCode="0.00_);[Red]\(0.00\)"/>
    <numFmt numFmtId="197" formatCode="0.000000_ "/>
    <numFmt numFmtId="198" formatCode="#,##0_ "/>
    <numFmt numFmtId="199" formatCode="0.00000_ "/>
  </numFmts>
  <fonts count="4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7"/>
      <name val="游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u/>
      <sz val="10"/>
      <color theme="10"/>
      <name val="游ゴシック"/>
      <family val="2"/>
      <scheme val="minor"/>
    </font>
    <font>
      <b/>
      <sz val="16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color rgb="FF0070C0"/>
      <name val="游ゴシック"/>
      <family val="2"/>
      <scheme val="minor"/>
    </font>
    <font>
      <vertAlign val="subscript"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FF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</cellStyleXfs>
  <cellXfs count="682">
    <xf numFmtId="0" fontId="0" fillId="0" borderId="0" xfId="0"/>
    <xf numFmtId="0" fontId="0" fillId="2" borderId="1" xfId="0" applyFill="1" applyBorder="1" applyAlignment="1" applyProtection="1">
      <alignment shrinkToFit="1"/>
      <protection locked="0"/>
    </xf>
    <xf numFmtId="38" fontId="0" fillId="2" borderId="1" xfId="1" applyFont="1" applyFill="1" applyBorder="1" applyAlignment="1" applyProtection="1">
      <alignment shrinkToFit="1"/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 applyProtection="1">
      <alignment vertical="center"/>
    </xf>
    <xf numFmtId="38" fontId="0" fillId="0" borderId="1" xfId="1" applyFont="1" applyBorder="1" applyAlignment="1" applyProtection="1"/>
    <xf numFmtId="38" fontId="0" fillId="0" borderId="1" xfId="1" applyFont="1" applyBorder="1" applyAlignment="1" applyProtection="1">
      <alignment horizontal="right" vertical="center"/>
    </xf>
    <xf numFmtId="9" fontId="0" fillId="0" borderId="1" xfId="2" applyFont="1" applyBorder="1" applyAlignment="1"/>
    <xf numFmtId="0" fontId="0" fillId="0" borderId="1" xfId="0" applyBorder="1" applyProtection="1"/>
    <xf numFmtId="0" fontId="0" fillId="2" borderId="1" xfId="0" applyFill="1" applyBorder="1" applyAlignment="1" applyProtection="1">
      <alignment wrapText="1"/>
      <protection locked="0"/>
    </xf>
    <xf numFmtId="0" fontId="5" fillId="0" borderId="0" xfId="0" applyFont="1" applyProtection="1"/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vertical="center"/>
    </xf>
    <xf numFmtId="0" fontId="0" fillId="0" borderId="0" xfId="0" applyBorder="1" applyProtection="1"/>
    <xf numFmtId="0" fontId="0" fillId="0" borderId="1" xfId="0" applyBorder="1" applyAlignment="1" applyProtection="1">
      <alignment horizontal="right"/>
    </xf>
    <xf numFmtId="0" fontId="0" fillId="0" borderId="1" xfId="0" applyFill="1" applyBorder="1" applyProtection="1"/>
    <xf numFmtId="0" fontId="0" fillId="0" borderId="0" xfId="0" applyFill="1" applyBorder="1" applyProtection="1"/>
    <xf numFmtId="0" fontId="0" fillId="3" borderId="1" xfId="0" applyFill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horizontal="right" vertical="center"/>
    </xf>
    <xf numFmtId="1" fontId="0" fillId="0" borderId="1" xfId="0" applyNumberFormat="1" applyBorder="1" applyAlignment="1" applyProtection="1">
      <alignment horizontal="right"/>
    </xf>
    <xf numFmtId="1" fontId="0" fillId="0" borderId="1" xfId="0" applyNumberFormat="1" applyBorder="1" applyProtection="1"/>
    <xf numFmtId="38" fontId="0" fillId="0" borderId="1" xfId="1" applyFont="1" applyBorder="1" applyAlignment="1">
      <alignment horizontal="right" vertical="center" wrapText="1"/>
    </xf>
    <xf numFmtId="0" fontId="0" fillId="0" borderId="0" xfId="0" applyBorder="1" applyAlignment="1" applyProtection="1">
      <alignment vertical="center"/>
    </xf>
    <xf numFmtId="38" fontId="0" fillId="0" borderId="1" xfId="1" applyFont="1" applyBorder="1" applyAlignment="1" applyProtection="1">
      <alignment horizontal="right" shrinkToFit="1"/>
    </xf>
    <xf numFmtId="0" fontId="0" fillId="0" borderId="1" xfId="0" applyBorder="1" applyAlignment="1" applyProtection="1">
      <alignment horizontal="center" shrinkToFit="1"/>
    </xf>
    <xf numFmtId="0" fontId="0" fillId="3" borderId="1" xfId="0" applyFill="1" applyBorder="1" applyAlignment="1" applyProtection="1">
      <alignment vertical="center" shrinkToFit="1"/>
      <protection locked="0"/>
    </xf>
    <xf numFmtId="38" fontId="0" fillId="0" borderId="1" xfId="1" applyFont="1" applyBorder="1" applyAlignment="1" applyProtection="1">
      <alignment shrinkToFit="1"/>
    </xf>
    <xf numFmtId="177" fontId="0" fillId="0" borderId="1" xfId="0" applyNumberFormat="1" applyBorder="1"/>
    <xf numFmtId="0" fontId="15" fillId="0" borderId="0" xfId="3" applyFont="1" applyAlignment="1" applyProtection="1">
      <alignment vertical="top"/>
    </xf>
    <xf numFmtId="0" fontId="14" fillId="0" borderId="0" xfId="3" applyFont="1" applyAlignment="1" applyProtection="1">
      <alignment vertical="center"/>
    </xf>
    <xf numFmtId="0" fontId="16" fillId="4" borderId="1" xfId="3" applyFont="1" applyFill="1" applyBorder="1" applyAlignment="1" applyProtection="1">
      <alignment vertical="center"/>
    </xf>
    <xf numFmtId="0" fontId="17" fillId="4" borderId="1" xfId="3" applyFont="1" applyFill="1" applyBorder="1" applyAlignment="1" applyProtection="1">
      <alignment vertical="center" wrapText="1" shrinkToFit="1"/>
    </xf>
    <xf numFmtId="0" fontId="16" fillId="4" borderId="1" xfId="3" applyFont="1" applyFill="1" applyBorder="1" applyAlignment="1" applyProtection="1">
      <alignment vertical="center" wrapText="1" shrinkToFit="1"/>
    </xf>
    <xf numFmtId="0" fontId="16" fillId="4" borderId="1" xfId="3" applyFont="1" applyFill="1" applyBorder="1" applyAlignment="1" applyProtection="1">
      <alignment vertical="center" shrinkToFit="1"/>
    </xf>
    <xf numFmtId="0" fontId="16" fillId="4" borderId="1" xfId="3" applyFont="1" applyFill="1" applyBorder="1" applyAlignment="1" applyProtection="1">
      <alignment horizontal="center" vertical="center" wrapText="1"/>
    </xf>
    <xf numFmtId="179" fontId="16" fillId="4" borderId="1" xfId="3" applyNumberFormat="1" applyFont="1" applyFill="1" applyBorder="1" applyAlignment="1" applyProtection="1">
      <alignment horizontal="center" vertical="center" wrapText="1"/>
    </xf>
    <xf numFmtId="0" fontId="14" fillId="0" borderId="1" xfId="3" applyFont="1" applyBorder="1" applyAlignment="1" applyProtection="1">
      <alignment vertical="center" shrinkToFit="1"/>
    </xf>
    <xf numFmtId="0" fontId="0" fillId="0" borderId="1" xfId="5" applyNumberFormat="1" applyFont="1" applyFill="1" applyBorder="1" applyAlignment="1" applyProtection="1">
      <alignment horizontal="center" vertical="center" shrinkToFit="1"/>
    </xf>
    <xf numFmtId="0" fontId="8" fillId="0" borderId="1" xfId="5" applyNumberFormat="1" applyFont="1" applyBorder="1" applyAlignment="1" applyProtection="1">
      <alignment horizontal="center" vertical="center" wrapText="1" shrinkToFit="1"/>
    </xf>
    <xf numFmtId="179" fontId="14" fillId="0" borderId="1" xfId="5" applyNumberFormat="1" applyFont="1" applyBorder="1" applyAlignment="1" applyProtection="1">
      <alignment horizontal="center" vertical="center" wrapText="1" shrinkToFit="1"/>
    </xf>
    <xf numFmtId="0" fontId="14" fillId="0" borderId="1" xfId="3" applyFont="1" applyFill="1" applyBorder="1" applyAlignment="1" applyProtection="1">
      <alignment vertical="center" shrinkToFit="1"/>
    </xf>
    <xf numFmtId="0" fontId="14" fillId="0" borderId="1" xfId="3" applyFont="1" applyBorder="1" applyAlignment="1" applyProtection="1">
      <alignment vertical="center"/>
    </xf>
    <xf numFmtId="183" fontId="0" fillId="0" borderId="1" xfId="5" applyNumberFormat="1" applyFont="1" applyFill="1" applyBorder="1" applyAlignment="1" applyProtection="1">
      <alignment vertical="center" shrinkToFit="1"/>
    </xf>
    <xf numFmtId="177" fontId="0" fillId="0" borderId="0" xfId="2" applyNumberFormat="1" applyFont="1" applyAlignment="1"/>
    <xf numFmtId="0" fontId="20" fillId="0" borderId="0" xfId="0" applyFont="1" applyProtection="1"/>
    <xf numFmtId="38" fontId="0" fillId="0" borderId="10" xfId="1" applyFont="1" applyBorder="1" applyAlignment="1" applyProtection="1">
      <alignment horizontal="right" vertical="center"/>
    </xf>
    <xf numFmtId="0" fontId="0" fillId="0" borderId="0" xfId="0" applyFill="1" applyProtection="1"/>
    <xf numFmtId="0" fontId="20" fillId="0" borderId="0" xfId="0" applyFont="1" applyFill="1" applyProtection="1"/>
    <xf numFmtId="0" fontId="22" fillId="0" borderId="0" xfId="0" applyFont="1" applyFill="1" applyProtection="1"/>
    <xf numFmtId="184" fontId="0" fillId="0" borderId="10" xfId="0" applyNumberFormat="1" applyBorder="1" applyAlignment="1" applyProtection="1">
      <alignment horizontal="right" vertical="center"/>
    </xf>
    <xf numFmtId="184" fontId="0" fillId="0" borderId="1" xfId="0" applyNumberFormat="1" applyBorder="1" applyProtection="1"/>
    <xf numFmtId="184" fontId="0" fillId="0" borderId="1" xfId="0" applyNumberFormat="1" applyBorder="1" applyAlignment="1" applyProtection="1">
      <alignment horizontal="right" shrinkToFit="1"/>
    </xf>
    <xf numFmtId="184" fontId="0" fillId="0" borderId="1" xfId="0" applyNumberFormat="1" applyBorder="1" applyAlignment="1" applyProtection="1">
      <alignment shrinkToFit="1"/>
    </xf>
    <xf numFmtId="184" fontId="0" fillId="0" borderId="1" xfId="0" applyNumberForma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/>
    </xf>
    <xf numFmtId="184" fontId="0" fillId="0" borderId="1" xfId="0" applyNumberFormat="1" applyBorder="1" applyAlignment="1" applyProtection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184" fontId="0" fillId="0" borderId="1" xfId="0" applyNumberForma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86" fontId="0" fillId="0" borderId="0" xfId="0" applyNumberFormat="1"/>
    <xf numFmtId="186" fontId="0" fillId="0" borderId="1" xfId="0" applyNumberFormat="1" applyBorder="1"/>
    <xf numFmtId="187" fontId="0" fillId="6" borderId="1" xfId="0" applyNumberFormat="1" applyFill="1" applyBorder="1" applyAlignment="1">
      <alignment horizontal="center" vertical="center"/>
    </xf>
    <xf numFmtId="187" fontId="0" fillId="0" borderId="0" xfId="0" applyNumberFormat="1" applyAlignment="1">
      <alignment horizontal="center"/>
    </xf>
    <xf numFmtId="187" fontId="0" fillId="0" borderId="1" xfId="0" applyNumberFormat="1" applyBorder="1"/>
    <xf numFmtId="187" fontId="0" fillId="0" borderId="0" xfId="0" applyNumberFormat="1"/>
    <xf numFmtId="187" fontId="0" fillId="0" borderId="8" xfId="0" applyNumberFormat="1" applyBorder="1"/>
    <xf numFmtId="188" fontId="0" fillId="0" borderId="1" xfId="1" applyNumberFormat="1" applyFont="1" applyBorder="1" applyAlignment="1" applyProtection="1">
      <alignment horizontal="right" vertical="center"/>
    </xf>
    <xf numFmtId="189" fontId="0" fillId="0" borderId="1" xfId="1" applyNumberFormat="1" applyFont="1" applyBorder="1" applyAlignment="1" applyProtection="1">
      <alignment horizontal="right" vertical="center"/>
    </xf>
    <xf numFmtId="188" fontId="0" fillId="0" borderId="1" xfId="0" applyNumberFormat="1" applyBorder="1" applyAlignment="1" applyProtection="1">
      <alignment horizontal="right" vertical="center"/>
    </xf>
    <xf numFmtId="188" fontId="0" fillId="0" borderId="1" xfId="1" applyNumberFormat="1" applyFont="1" applyBorder="1" applyAlignment="1" applyProtection="1">
      <alignment vertical="center"/>
    </xf>
    <xf numFmtId="180" fontId="0" fillId="2" borderId="1" xfId="0" applyNumberFormat="1" applyFill="1" applyBorder="1" applyProtection="1">
      <protection locked="0"/>
    </xf>
    <xf numFmtId="188" fontId="0" fillId="2" borderId="1" xfId="0" applyNumberFormat="1" applyFill="1" applyBorder="1" applyProtection="1">
      <protection locked="0"/>
    </xf>
    <xf numFmtId="188" fontId="0" fillId="2" borderId="1" xfId="1" applyNumberFormat="1" applyFont="1" applyFill="1" applyBorder="1" applyAlignment="1" applyProtection="1">
      <protection locked="0"/>
    </xf>
    <xf numFmtId="0" fontId="0" fillId="0" borderId="11" xfId="0" applyBorder="1" applyAlignment="1" applyProtection="1">
      <alignment shrinkToFit="1"/>
    </xf>
    <xf numFmtId="38" fontId="0" fillId="0" borderId="11" xfId="1" applyFont="1" applyBorder="1" applyAlignment="1" applyProtection="1">
      <alignment horizontal="right" shrinkToFit="1"/>
    </xf>
    <xf numFmtId="0" fontId="0" fillId="0" borderId="12" xfId="0" applyBorder="1" applyProtection="1"/>
    <xf numFmtId="0" fontId="0" fillId="0" borderId="11" xfId="0" applyBorder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/>
      <protection locked="0"/>
    </xf>
    <xf numFmtId="190" fontId="0" fillId="2" borderId="1" xfId="0" applyNumberFormat="1" applyFill="1" applyBorder="1" applyProtection="1">
      <protection locked="0"/>
    </xf>
    <xf numFmtId="0" fontId="23" fillId="0" borderId="0" xfId="0" applyFont="1" applyProtection="1"/>
    <xf numFmtId="191" fontId="0" fillId="0" borderId="0" xfId="0" applyNumberFormat="1"/>
    <xf numFmtId="185" fontId="0" fillId="0" borderId="0" xfId="0" applyNumberFormat="1"/>
    <xf numFmtId="176" fontId="0" fillId="0" borderId="0" xfId="0" applyNumberFormat="1"/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right" vertical="center"/>
    </xf>
    <xf numFmtId="177" fontId="0" fillId="0" borderId="0" xfId="0" applyNumberFormat="1"/>
    <xf numFmtId="190" fontId="0" fillId="0" borderId="1" xfId="0" applyNumberFormat="1" applyBorder="1" applyAlignment="1" applyProtection="1">
      <alignment horizontal="right" vertical="center"/>
    </xf>
    <xf numFmtId="192" fontId="0" fillId="0" borderId="1" xfId="0" applyNumberFormat="1" applyBorder="1" applyAlignment="1" applyProtection="1">
      <alignment horizontal="right" vertical="center"/>
    </xf>
    <xf numFmtId="192" fontId="0" fillId="2" borderId="1" xfId="0" applyNumberFormat="1" applyFill="1" applyBorder="1" applyProtection="1">
      <protection locked="0"/>
    </xf>
    <xf numFmtId="192" fontId="0" fillId="0" borderId="0" xfId="0" applyNumberFormat="1" applyProtection="1"/>
    <xf numFmtId="0" fontId="0" fillId="6" borderId="1" xfId="0" applyFill="1" applyBorder="1"/>
    <xf numFmtId="9" fontId="0" fillId="6" borderId="1" xfId="2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Protection="1"/>
    <xf numFmtId="0" fontId="0" fillId="6" borderId="1" xfId="0" applyFill="1" applyBorder="1" applyAlignment="1" applyProtection="1">
      <alignment horizontal="center" wrapText="1"/>
    </xf>
    <xf numFmtId="0" fontId="0" fillId="6" borderId="1" xfId="0" applyFill="1" applyBorder="1" applyAlignment="1" applyProtection="1">
      <alignment vertical="center"/>
    </xf>
    <xf numFmtId="0" fontId="0" fillId="6" borderId="2" xfId="0" applyFill="1" applyBorder="1" applyAlignment="1" applyProtection="1"/>
    <xf numFmtId="0" fontId="0" fillId="6" borderId="5" xfId="0" applyFill="1" applyBorder="1" applyAlignment="1" applyProtection="1"/>
    <xf numFmtId="0" fontId="0" fillId="6" borderId="3" xfId="0" applyFill="1" applyBorder="1" applyAlignment="1" applyProtection="1"/>
    <xf numFmtId="0" fontId="0" fillId="6" borderId="1" xfId="0" applyFill="1" applyBorder="1" applyAlignment="1" applyProtection="1">
      <alignment horizontal="right"/>
    </xf>
    <xf numFmtId="0" fontId="0" fillId="6" borderId="3" xfId="0" applyFill="1" applyBorder="1" applyProtection="1"/>
    <xf numFmtId="0" fontId="0" fillId="6" borderId="2" xfId="0" applyFill="1" applyBorder="1"/>
    <xf numFmtId="0" fontId="0" fillId="6" borderId="1" xfId="0" applyFill="1" applyBorder="1" applyAlignment="1" applyProtection="1">
      <alignment horizontal="left"/>
    </xf>
    <xf numFmtId="0" fontId="0" fillId="6" borderId="5" xfId="0" applyFill="1" applyBorder="1"/>
    <xf numFmtId="189" fontId="0" fillId="0" borderId="10" xfId="1" applyNumberFormat="1" applyFont="1" applyBorder="1" applyAlignment="1" applyProtection="1">
      <alignment horizontal="right" vertical="center"/>
    </xf>
    <xf numFmtId="188" fontId="0" fillId="0" borderId="1" xfId="1" applyNumberFormat="1" applyFont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0" fillId="6" borderId="1" xfId="0" applyFill="1" applyBorder="1" applyAlignment="1" applyProtection="1">
      <alignment shrinkToFit="1"/>
    </xf>
    <xf numFmtId="0" fontId="0" fillId="6" borderId="5" xfId="0" applyFill="1" applyBorder="1" applyProtection="1"/>
    <xf numFmtId="0" fontId="0" fillId="6" borderId="2" xfId="0" applyFill="1" applyBorder="1" applyProtection="1"/>
    <xf numFmtId="0" fontId="0" fillId="6" borderId="1" xfId="0" applyFill="1" applyBorder="1" applyAlignment="1" applyProtection="1">
      <alignment vertical="center" wrapText="1"/>
    </xf>
    <xf numFmtId="0" fontId="0" fillId="0" borderId="0" xfId="0" applyFill="1" applyBorder="1"/>
    <xf numFmtId="9" fontId="0" fillId="0" borderId="1" xfId="2" applyFont="1" applyBorder="1" applyAlignment="1">
      <alignment horizontal="center"/>
    </xf>
    <xf numFmtId="0" fontId="0" fillId="0" borderId="0" xfId="0" applyFill="1" applyBorder="1" applyAlignment="1" applyProtection="1">
      <alignment shrinkToFit="1"/>
      <protection locked="0"/>
    </xf>
    <xf numFmtId="0" fontId="7" fillId="0" borderId="0" xfId="0" applyFont="1" applyFill="1" applyBorder="1"/>
    <xf numFmtId="0" fontId="0" fillId="0" borderId="0" xfId="0" applyFill="1" applyBorder="1" applyAlignment="1" applyProtection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193" fontId="0" fillId="0" borderId="1" xfId="0" applyNumberFormat="1" applyBorder="1" applyAlignment="1" applyProtection="1">
      <alignment horizontal="right"/>
    </xf>
    <xf numFmtId="0" fontId="10" fillId="6" borderId="1" xfId="0" applyFont="1" applyFill="1" applyBorder="1" applyAlignment="1" applyProtection="1">
      <alignment vertical="center" wrapText="1"/>
    </xf>
    <xf numFmtId="184" fontId="0" fillId="7" borderId="1" xfId="0" applyNumberFormat="1" applyFill="1" applyBorder="1" applyAlignment="1">
      <alignment horizontal="right" vertical="center" wrapText="1"/>
    </xf>
    <xf numFmtId="0" fontId="8" fillId="0" borderId="1" xfId="5" applyNumberFormat="1" applyFont="1" applyFill="1" applyBorder="1" applyAlignment="1" applyProtection="1">
      <alignment horizontal="center" vertical="center" wrapText="1" shrinkToFit="1"/>
    </xf>
    <xf numFmtId="179" fontId="14" fillId="0" borderId="1" xfId="5" applyNumberFormat="1" applyFont="1" applyFill="1" applyBorder="1" applyAlignment="1" applyProtection="1">
      <alignment horizontal="center" vertical="center" wrapText="1" shrinkToFit="1"/>
    </xf>
    <xf numFmtId="180" fontId="0" fillId="0" borderId="1" xfId="5" applyNumberFormat="1" applyFont="1" applyFill="1" applyBorder="1" applyAlignment="1" applyProtection="1">
      <alignment horizontal="right" vertical="center" shrinkToFit="1"/>
    </xf>
    <xf numFmtId="0" fontId="18" fillId="0" borderId="1" xfId="5" applyNumberFormat="1" applyFont="1" applyFill="1" applyBorder="1" applyAlignment="1" applyProtection="1">
      <alignment horizontal="center" vertical="center" wrapText="1" shrinkToFit="1"/>
    </xf>
    <xf numFmtId="0" fontId="14" fillId="0" borderId="0" xfId="3" applyFont="1" applyFill="1" applyAlignment="1" applyProtection="1">
      <alignment vertical="center"/>
    </xf>
    <xf numFmtId="0" fontId="0" fillId="5" borderId="1" xfId="0" applyFont="1" applyFill="1" applyBorder="1" applyProtection="1"/>
    <xf numFmtId="0" fontId="12" fillId="5" borderId="1" xfId="0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right"/>
    </xf>
    <xf numFmtId="38" fontId="12" fillId="5" borderId="1" xfId="1" applyFont="1" applyFill="1" applyBorder="1" applyAlignment="1" applyProtection="1">
      <alignment horizontal="right"/>
    </xf>
    <xf numFmtId="184" fontId="12" fillId="5" borderId="1" xfId="0" applyNumberFormat="1" applyFont="1" applyFill="1" applyBorder="1" applyAlignment="1" applyProtection="1">
      <alignment horizontal="right" wrapText="1"/>
    </xf>
    <xf numFmtId="0" fontId="12" fillId="5" borderId="1" xfId="0" applyFont="1" applyFill="1" applyBorder="1" applyAlignment="1" applyProtection="1">
      <alignment horizontal="center" wrapText="1"/>
    </xf>
    <xf numFmtId="0" fontId="12" fillId="5" borderId="1" xfId="0" applyFont="1" applyFill="1" applyBorder="1" applyAlignment="1" applyProtection="1">
      <alignment horizontal="right"/>
      <protection locked="0"/>
    </xf>
    <xf numFmtId="193" fontId="12" fillId="5" borderId="1" xfId="0" applyNumberFormat="1" applyFont="1" applyFill="1" applyBorder="1" applyAlignment="1" applyProtection="1">
      <alignment horizontal="right" wrapText="1"/>
    </xf>
    <xf numFmtId="0" fontId="0" fillId="6" borderId="11" xfId="0" applyFill="1" applyBorder="1" applyAlignment="1" applyProtection="1">
      <alignment horizontal="center"/>
    </xf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21" xfId="0" applyFill="1" applyBorder="1" applyProtection="1"/>
    <xf numFmtId="0" fontId="0" fillId="0" borderId="22" xfId="0" applyFill="1" applyBorder="1" applyProtection="1"/>
    <xf numFmtId="0" fontId="0" fillId="0" borderId="11" xfId="0" applyFill="1" applyBorder="1" applyAlignment="1" applyProtection="1">
      <alignment horizontal="right"/>
    </xf>
    <xf numFmtId="0" fontId="0" fillId="0" borderId="1" xfId="0" applyFill="1" applyBorder="1" applyAlignment="1" applyProtection="1">
      <alignment vertical="center" shrinkToFit="1"/>
    </xf>
    <xf numFmtId="9" fontId="0" fillId="0" borderId="1" xfId="0" applyNumberFormat="1" applyFill="1" applyBorder="1" applyAlignment="1" applyProtection="1">
      <alignment horizontal="center" vertical="center" shrinkToFit="1"/>
    </xf>
    <xf numFmtId="0" fontId="0" fillId="0" borderId="1" xfId="0" applyFill="1" applyBorder="1" applyAlignment="1" applyProtection="1">
      <alignment shrinkToFit="1"/>
    </xf>
    <xf numFmtId="194" fontId="0" fillId="0" borderId="1" xfId="0" applyNumberFormat="1" applyBorder="1" applyAlignment="1" applyProtection="1">
      <alignment horizontal="right"/>
    </xf>
    <xf numFmtId="194" fontId="0" fillId="0" borderId="1" xfId="0" applyNumberFormat="1" applyBorder="1" applyProtection="1"/>
    <xf numFmtId="193" fontId="0" fillId="0" borderId="1" xfId="0" applyNumberFormat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 applyProtection="1">
      <alignment horizontal="center"/>
    </xf>
    <xf numFmtId="194" fontId="0" fillId="0" borderId="1" xfId="1" applyNumberFormat="1" applyFont="1" applyBorder="1" applyAlignment="1" applyProtection="1">
      <alignment horizontal="right" vertical="center"/>
    </xf>
    <xf numFmtId="194" fontId="0" fillId="0" borderId="1" xfId="1" applyNumberFormat="1" applyFont="1" applyBorder="1" applyAlignment="1" applyProtection="1"/>
    <xf numFmtId="0" fontId="14" fillId="6" borderId="1" xfId="3" applyFont="1" applyFill="1" applyBorder="1">
      <alignment vertical="center"/>
    </xf>
    <xf numFmtId="0" fontId="0" fillId="0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/>
      <protection locked="0"/>
    </xf>
    <xf numFmtId="193" fontId="0" fillId="0" borderId="10" xfId="0" applyNumberFormat="1" applyBorder="1" applyAlignment="1" applyProtection="1">
      <alignment horizontal="right" vertical="center"/>
    </xf>
    <xf numFmtId="178" fontId="0" fillId="0" borderId="1" xfId="0" applyNumberFormat="1" applyBorder="1" applyProtection="1"/>
    <xf numFmtId="0" fontId="0" fillId="6" borderId="1" xfId="0" applyFill="1" applyBorder="1" applyAlignment="1" applyProtection="1">
      <alignment horizontal="left" vertical="center"/>
    </xf>
    <xf numFmtId="0" fontId="0" fillId="6" borderId="10" xfId="0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left" vertical="top"/>
    </xf>
    <xf numFmtId="0" fontId="21" fillId="0" borderId="0" xfId="0" applyFont="1" applyProtection="1"/>
    <xf numFmtId="186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1" fillId="3" borderId="1" xfId="0" applyFont="1" applyFill="1" applyBorder="1" applyAlignment="1" applyProtection="1">
      <alignment horizontal="center"/>
      <protection locked="0"/>
    </xf>
    <xf numFmtId="195" fontId="0" fillId="0" borderId="1" xfId="1" applyNumberFormat="1" applyFont="1" applyBorder="1" applyAlignment="1" applyProtection="1"/>
    <xf numFmtId="195" fontId="0" fillId="7" borderId="1" xfId="1" applyNumberFormat="1" applyFont="1" applyFill="1" applyBorder="1" applyAlignment="1" applyProtection="1">
      <alignment horizontal="right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 applyProtection="1">
      <alignment horizontal="left" vertical="center" wrapText="1"/>
    </xf>
    <xf numFmtId="0" fontId="11" fillId="6" borderId="1" xfId="0" applyFont="1" applyFill="1" applyBorder="1" applyAlignment="1" applyProtection="1">
      <alignment horizontal="left" vertical="center" wrapText="1"/>
    </xf>
    <xf numFmtId="9" fontId="0" fillId="0" borderId="11" xfId="0" applyNumberFormat="1" applyBorder="1" applyAlignment="1" applyProtection="1">
      <alignment horizontal="center" shrinkToFit="1"/>
    </xf>
    <xf numFmtId="9" fontId="0" fillId="0" borderId="11" xfId="0" applyNumberFormat="1" applyFill="1" applyBorder="1" applyAlignment="1" applyProtection="1">
      <alignment horizontal="center" shrinkToFit="1"/>
    </xf>
    <xf numFmtId="186" fontId="0" fillId="2" borderId="1" xfId="0" applyNumberFormat="1" applyFill="1" applyBorder="1" applyAlignment="1" applyProtection="1">
      <alignment vertical="center" shrinkToFit="1"/>
      <protection locked="0"/>
    </xf>
    <xf numFmtId="0" fontId="0" fillId="0" borderId="0" xfId="0" applyFill="1"/>
    <xf numFmtId="187" fontId="0" fillId="2" borderId="1" xfId="0" applyNumberFormat="1" applyFill="1" applyBorder="1" applyProtection="1">
      <protection locked="0"/>
    </xf>
    <xf numFmtId="187" fontId="0" fillId="0" borderId="11" xfId="0" applyNumberFormat="1" applyBorder="1" applyAlignment="1" applyProtection="1">
      <alignment horizontal="right" vertical="center"/>
    </xf>
    <xf numFmtId="2" fontId="0" fillId="2" borderId="1" xfId="0" applyNumberFormat="1" applyFill="1" applyBorder="1" applyAlignment="1" applyProtection="1">
      <alignment shrinkToFit="1"/>
      <protection locked="0"/>
    </xf>
    <xf numFmtId="192" fontId="0" fillId="0" borderId="1" xfId="1" applyNumberFormat="1" applyFont="1" applyBorder="1" applyAlignment="1" applyProtection="1">
      <alignment horizontal="right" shrinkToFit="1"/>
    </xf>
    <xf numFmtId="192" fontId="0" fillId="0" borderId="1" xfId="0" applyNumberFormat="1" applyBorder="1" applyAlignment="1" applyProtection="1">
      <alignment shrinkToFit="1"/>
    </xf>
    <xf numFmtId="196" fontId="0" fillId="0" borderId="11" xfId="0" applyNumberFormat="1" applyBorder="1" applyAlignment="1" applyProtection="1">
      <alignment horizontal="center" shrinkToFit="1"/>
    </xf>
    <xf numFmtId="196" fontId="0" fillId="0" borderId="1" xfId="0" applyNumberFormat="1" applyFill="1" applyBorder="1" applyAlignment="1" applyProtection="1">
      <alignment shrinkToFit="1"/>
    </xf>
    <xf numFmtId="193" fontId="0" fillId="0" borderId="1" xfId="1" applyNumberFormat="1" applyFont="1" applyBorder="1" applyAlignment="1" applyProtection="1">
      <alignment horizontal="right" shrinkToFit="1"/>
    </xf>
    <xf numFmtId="193" fontId="0" fillId="0" borderId="1" xfId="1" applyNumberFormat="1" applyFont="1" applyBorder="1" applyAlignment="1" applyProtection="1">
      <alignment shrinkToFit="1"/>
    </xf>
    <xf numFmtId="178" fontId="0" fillId="0" borderId="1" xfId="1" applyNumberFormat="1" applyFont="1" applyBorder="1" applyAlignment="1" applyProtection="1">
      <alignment horizontal="right" shrinkToFit="1"/>
    </xf>
    <xf numFmtId="178" fontId="0" fillId="0" borderId="1" xfId="0" applyNumberFormat="1" applyBorder="1" applyAlignment="1" applyProtection="1">
      <alignment horizontal="right" shrinkToFit="1"/>
    </xf>
    <xf numFmtId="193" fontId="0" fillId="0" borderId="10" xfId="1" applyNumberFormat="1" applyFont="1" applyBorder="1" applyAlignment="1" applyProtection="1">
      <alignment horizontal="right" vertical="center"/>
    </xf>
    <xf numFmtId="0" fontId="0" fillId="6" borderId="11" xfId="0" applyFill="1" applyBorder="1" applyProtection="1"/>
    <xf numFmtId="0" fontId="0" fillId="0" borderId="0" xfId="0" applyAlignment="1" applyProtection="1"/>
    <xf numFmtId="0" fontId="0" fillId="0" borderId="0" xfId="0" applyFill="1" applyBorder="1" applyAlignment="1" applyProtection="1"/>
    <xf numFmtId="198" fontId="0" fillId="0" borderId="1" xfId="0" applyNumberFormat="1" applyBorder="1" applyAlignment="1" applyProtection="1">
      <alignment horizontal="right" vertical="center"/>
    </xf>
    <xf numFmtId="198" fontId="0" fillId="0" borderId="1" xfId="0" applyNumberFormat="1" applyBorder="1" applyProtection="1"/>
    <xf numFmtId="0" fontId="0" fillId="0" borderId="11" xfId="0" applyFill="1" applyBorder="1" applyProtection="1"/>
    <xf numFmtId="0" fontId="0" fillId="0" borderId="28" xfId="0" applyFill="1" applyBorder="1" applyProtection="1"/>
    <xf numFmtId="0" fontId="0" fillId="0" borderId="21" xfId="0" applyBorder="1" applyProtection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29" fillId="0" borderId="0" xfId="0" applyFont="1"/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wrapText="1"/>
      <protection locked="0"/>
    </xf>
    <xf numFmtId="0" fontId="23" fillId="0" borderId="0" xfId="0" applyFont="1"/>
    <xf numFmtId="0" fontId="0" fillId="0" borderId="0" xfId="0" applyAlignment="1">
      <alignment shrinkToFit="1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/>
    <xf numFmtId="0" fontId="0" fillId="6" borderId="2" xfId="0" applyFont="1" applyFill="1" applyBorder="1" applyAlignment="1">
      <alignment horizontal="center"/>
    </xf>
    <xf numFmtId="0" fontId="23" fillId="11" borderId="1" xfId="0" applyFont="1" applyFill="1" applyBorder="1"/>
    <xf numFmtId="0" fontId="23" fillId="10" borderId="1" xfId="0" applyFont="1" applyFill="1" applyBorder="1"/>
    <xf numFmtId="0" fontId="23" fillId="0" borderId="8" xfId="0" applyFont="1" applyFill="1" applyBorder="1"/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14" fillId="0" borderId="0" xfId="3" applyFont="1" applyFill="1" applyBorder="1" applyAlignment="1">
      <alignment horizontal="center" vertical="center"/>
    </xf>
    <xf numFmtId="197" fontId="0" fillId="0" borderId="0" xfId="0" applyNumberFormat="1" applyFill="1" applyBorder="1" applyProtection="1"/>
    <xf numFmtId="0" fontId="23" fillId="6" borderId="1" xfId="0" applyFont="1" applyFill="1" applyBorder="1"/>
    <xf numFmtId="0" fontId="22" fillId="0" borderId="0" xfId="0" applyFon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9" fontId="0" fillId="0" borderId="1" xfId="2" applyFont="1" applyFill="1" applyBorder="1" applyAlignment="1" applyProtection="1">
      <alignment vertical="center"/>
    </xf>
    <xf numFmtId="1" fontId="0" fillId="0" borderId="1" xfId="0" applyNumberFormat="1" applyBorder="1" applyAlignment="1" applyProtection="1">
      <alignment vertical="center"/>
    </xf>
    <xf numFmtId="194" fontId="0" fillId="0" borderId="1" xfId="0" applyNumberForma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6" borderId="11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center"/>
    </xf>
    <xf numFmtId="193" fontId="0" fillId="0" borderId="1" xfId="0" applyNumberFormat="1" applyFill="1" applyBorder="1" applyAlignment="1" applyProtection="1">
      <alignment vertical="center"/>
    </xf>
    <xf numFmtId="0" fontId="0" fillId="0" borderId="8" xfId="0" applyFill="1" applyBorder="1"/>
    <xf numFmtId="0" fontId="29" fillId="0" borderId="0" xfId="0" applyFont="1" applyBorder="1"/>
    <xf numFmtId="0" fontId="0" fillId="0" borderId="0" xfId="0" applyBorder="1" applyAlignment="1">
      <alignment shrinkToFit="1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 applyProtection="1">
      <alignment horizontal="left" vertical="top"/>
    </xf>
    <xf numFmtId="0" fontId="0" fillId="6" borderId="6" xfId="0" applyFill="1" applyBorder="1" applyAlignment="1" applyProtection="1">
      <alignment horizontal="left" vertical="top"/>
    </xf>
    <xf numFmtId="0" fontId="0" fillId="6" borderId="24" xfId="0" applyFill="1" applyBorder="1" applyAlignment="1" applyProtection="1">
      <alignment horizontal="left" vertical="top"/>
    </xf>
    <xf numFmtId="0" fontId="0" fillId="6" borderId="7" xfId="0" applyFill="1" applyBorder="1" applyAlignment="1" applyProtection="1">
      <alignment horizontal="left" vertical="top"/>
    </xf>
    <xf numFmtId="0" fontId="0" fillId="6" borderId="8" xfId="0" applyFill="1" applyBorder="1" applyAlignment="1" applyProtection="1">
      <alignment horizontal="left" vertical="top"/>
    </xf>
    <xf numFmtId="0" fontId="0" fillId="6" borderId="9" xfId="0" applyFill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2" applyFont="1" applyFill="1" applyBorder="1" applyAlignment="1" applyProtection="1"/>
    <xf numFmtId="0" fontId="0" fillId="0" borderId="1" xfId="0" applyFont="1" applyFill="1" applyBorder="1" applyAlignment="1"/>
    <xf numFmtId="186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 shrinkToFit="1"/>
    </xf>
    <xf numFmtId="0" fontId="0" fillId="0" borderId="1" xfId="2" applyNumberFormat="1" applyFont="1" applyFill="1" applyBorder="1" applyAlignment="1" applyProtection="1"/>
    <xf numFmtId="0" fontId="0" fillId="0" borderId="1" xfId="0" applyBorder="1" applyAlignment="1" applyProtection="1">
      <alignment horizontal="center"/>
    </xf>
    <xf numFmtId="0" fontId="30" fillId="0" borderId="0" xfId="0" applyFont="1" applyProtection="1"/>
    <xf numFmtId="38" fontId="0" fillId="0" borderId="0" xfId="1" applyNumberFormat="1" applyFont="1" applyFill="1" applyBorder="1" applyAlignment="1" applyProtection="1">
      <alignment horizontal="center"/>
    </xf>
    <xf numFmtId="0" fontId="24" fillId="6" borderId="5" xfId="0" applyFont="1" applyFill="1" applyBorder="1" applyProtection="1"/>
    <xf numFmtId="0" fontId="24" fillId="8" borderId="0" xfId="0" applyFont="1" applyFill="1" applyProtection="1"/>
    <xf numFmtId="0" fontId="24" fillId="10" borderId="0" xfId="0" applyFont="1" applyFill="1" applyProtection="1"/>
    <xf numFmtId="0" fontId="24" fillId="6" borderId="2" xfId="0" applyFont="1" applyFill="1" applyBorder="1" applyAlignment="1" applyProtection="1"/>
    <xf numFmtId="0" fontId="24" fillId="6" borderId="5" xfId="0" applyFont="1" applyFill="1" applyBorder="1" applyAlignment="1" applyProtection="1"/>
    <xf numFmtId="0" fontId="24" fillId="6" borderId="3" xfId="0" applyFont="1" applyFill="1" applyBorder="1" applyAlignment="1" applyProtection="1"/>
    <xf numFmtId="0" fontId="24" fillId="6" borderId="1" xfId="0" applyFont="1" applyFill="1" applyBorder="1" applyAlignment="1" applyProtection="1">
      <alignment horizontal="left" vertical="center" wrapText="1"/>
    </xf>
    <xf numFmtId="0" fontId="24" fillId="10" borderId="1" xfId="0" applyFont="1" applyFill="1" applyBorder="1" applyAlignment="1" applyProtection="1">
      <alignment horizontal="left" vertical="center" wrapText="1"/>
    </xf>
    <xf numFmtId="0" fontId="24" fillId="8" borderId="1" xfId="0" applyFont="1" applyFill="1" applyBorder="1" applyAlignment="1" applyProtection="1">
      <alignment horizontal="left" vertical="center" wrapText="1"/>
    </xf>
    <xf numFmtId="186" fontId="0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193" fontId="0" fillId="0" borderId="1" xfId="0" applyNumberFormat="1" applyFill="1" applyBorder="1" applyAlignment="1" applyProtection="1">
      <alignment horizontal="right"/>
    </xf>
    <xf numFmtId="193" fontId="0" fillId="0" borderId="1" xfId="0" applyNumberFormat="1" applyFill="1" applyBorder="1" applyProtection="1"/>
    <xf numFmtId="193" fontId="0" fillId="0" borderId="1" xfId="0" applyNumberFormat="1" applyFill="1" applyBorder="1" applyAlignment="1" applyProtection="1">
      <alignment horizontal="right" vertical="center"/>
    </xf>
    <xf numFmtId="197" fontId="0" fillId="0" borderId="1" xfId="0" applyNumberFormat="1" applyFont="1" applyFill="1" applyBorder="1" applyAlignment="1"/>
    <xf numFmtId="197" fontId="0" fillId="0" borderId="1" xfId="0" applyNumberFormat="1" applyFont="1" applyFill="1" applyBorder="1" applyAlignment="1">
      <alignment horizontal="center" shrinkToFit="1"/>
    </xf>
    <xf numFmtId="18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9" fontId="0" fillId="0" borderId="0" xfId="2" applyFont="1" applyFill="1" applyBorder="1" applyAlignment="1" applyProtection="1"/>
    <xf numFmtId="0" fontId="0" fillId="0" borderId="0" xfId="0" applyFont="1" applyFill="1" applyBorder="1" applyAlignment="1"/>
    <xf numFmtId="0" fontId="0" fillId="0" borderId="0" xfId="0" applyFill="1" applyBorder="1" applyAlignment="1" applyProtection="1">
      <alignment vertical="center" shrinkToFit="1"/>
    </xf>
    <xf numFmtId="0" fontId="0" fillId="0" borderId="0" xfId="2" applyNumberFormat="1" applyFont="1" applyFill="1" applyBorder="1" applyAlignment="1" applyProtection="1"/>
    <xf numFmtId="0" fontId="0" fillId="14" borderId="33" xfId="0" applyFill="1" applyBorder="1" applyProtection="1"/>
    <xf numFmtId="0" fontId="0" fillId="14" borderId="34" xfId="0" applyFill="1" applyBorder="1" applyProtection="1"/>
    <xf numFmtId="0" fontId="0" fillId="14" borderId="35" xfId="0" applyFill="1" applyBorder="1" applyProtection="1"/>
    <xf numFmtId="0" fontId="0" fillId="14" borderId="15" xfId="0" applyFill="1" applyBorder="1" applyProtection="1"/>
    <xf numFmtId="0" fontId="0" fillId="14" borderId="5" xfId="0" applyFill="1" applyBorder="1" applyProtection="1"/>
    <xf numFmtId="0" fontId="0" fillId="14" borderId="14" xfId="0" applyFill="1" applyBorder="1" applyProtection="1"/>
    <xf numFmtId="0" fontId="0" fillId="14" borderId="3" xfId="0" applyFill="1" applyBorder="1" applyProtection="1"/>
    <xf numFmtId="0" fontId="0" fillId="14" borderId="31" xfId="0" applyFill="1" applyBorder="1" applyProtection="1"/>
    <xf numFmtId="0" fontId="0" fillId="14" borderId="6" xfId="0" applyFill="1" applyBorder="1" applyProtection="1"/>
    <xf numFmtId="0" fontId="0" fillId="14" borderId="28" xfId="0" applyFill="1" applyBorder="1" applyProtection="1"/>
    <xf numFmtId="0" fontId="0" fillId="14" borderId="26" xfId="0" applyFill="1" applyBorder="1" applyProtection="1"/>
    <xf numFmtId="0" fontId="0" fillId="14" borderId="27" xfId="0" applyFill="1" applyBorder="1" applyProtection="1"/>
    <xf numFmtId="0" fontId="0" fillId="14" borderId="22" xfId="0" applyFill="1" applyBorder="1" applyProtection="1"/>
    <xf numFmtId="186" fontId="0" fillId="14" borderId="2" xfId="0" applyNumberFormat="1" applyFill="1" applyBorder="1" applyAlignment="1" applyProtection="1">
      <alignment horizontal="left"/>
    </xf>
    <xf numFmtId="191" fontId="0" fillId="14" borderId="2" xfId="0" applyNumberFormat="1" applyFill="1" applyBorder="1" applyAlignment="1" applyProtection="1">
      <alignment horizontal="left"/>
    </xf>
    <xf numFmtId="191" fontId="0" fillId="14" borderId="20" xfId="0" applyNumberFormat="1" applyFill="1" applyBorder="1" applyAlignment="1" applyProtection="1">
      <alignment horizontal="left"/>
    </xf>
    <xf numFmtId="0" fontId="0" fillId="14" borderId="1" xfId="0" applyFill="1" applyBorder="1" applyAlignment="1" applyProtection="1">
      <alignment horizontal="center"/>
    </xf>
    <xf numFmtId="0" fontId="0" fillId="14" borderId="13" xfId="0" applyFill="1" applyBorder="1" applyAlignment="1" applyProtection="1">
      <alignment horizontal="center"/>
    </xf>
    <xf numFmtId="186" fontId="0" fillId="0" borderId="0" xfId="0" applyNumberFormat="1" applyFill="1" applyBorder="1" applyAlignment="1" applyProtection="1">
      <alignment horizontal="left"/>
    </xf>
    <xf numFmtId="191" fontId="0" fillId="0" borderId="0" xfId="0" applyNumberFormat="1" applyFill="1" applyBorder="1" applyAlignment="1" applyProtection="1">
      <alignment horizontal="left"/>
    </xf>
    <xf numFmtId="0" fontId="0" fillId="6" borderId="17" xfId="0" applyFill="1" applyBorder="1" applyProtection="1"/>
    <xf numFmtId="178" fontId="0" fillId="0" borderId="1" xfId="0" applyNumberFormat="1" applyFill="1" applyBorder="1" applyAlignment="1" applyProtection="1">
      <alignment shrinkToFit="1"/>
    </xf>
    <xf numFmtId="178" fontId="0" fillId="0" borderId="1" xfId="1" applyNumberFormat="1" applyFont="1" applyFill="1" applyBorder="1" applyAlignment="1" applyProtection="1">
      <alignment shrinkToFit="1"/>
    </xf>
    <xf numFmtId="0" fontId="21" fillId="6" borderId="5" xfId="0" applyFont="1" applyFill="1" applyBorder="1" applyProtection="1"/>
    <xf numFmtId="0" fontId="21" fillId="6" borderId="2" xfId="0" applyFont="1" applyFill="1" applyBorder="1" applyProtection="1"/>
    <xf numFmtId="0" fontId="24" fillId="6" borderId="3" xfId="0" applyFont="1" applyFill="1" applyBorder="1" applyProtection="1"/>
    <xf numFmtId="0" fontId="24" fillId="6" borderId="2" xfId="0" applyFont="1" applyFill="1" applyBorder="1" applyProtection="1"/>
    <xf numFmtId="177" fontId="0" fillId="2" borderId="1" xfId="0" applyNumberFormat="1" applyFill="1" applyBorder="1" applyAlignment="1" applyProtection="1">
      <alignment shrinkToFit="1"/>
      <protection locked="0"/>
    </xf>
    <xf numFmtId="0" fontId="0" fillId="6" borderId="1" xfId="0" applyFill="1" applyBorder="1" applyAlignment="1" applyProtection="1">
      <alignment vertical="center" shrinkToFit="1"/>
    </xf>
    <xf numFmtId="0" fontId="0" fillId="0" borderId="6" xfId="0" applyFont="1" applyFill="1" applyBorder="1"/>
    <xf numFmtId="197" fontId="0" fillId="0" borderId="0" xfId="0" applyNumberFormat="1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89" fontId="0" fillId="0" borderId="1" xfId="1" applyNumberFormat="1" applyFont="1" applyBorder="1" applyAlignment="1" applyProtection="1">
      <alignment vertical="center"/>
    </xf>
    <xf numFmtId="0" fontId="0" fillId="6" borderId="29" xfId="0" applyFill="1" applyBorder="1" applyProtection="1"/>
    <xf numFmtId="0" fontId="0" fillId="6" borderId="21" xfId="0" applyFill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21" fillId="6" borderId="1" xfId="0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/>
    </xf>
    <xf numFmtId="193" fontId="24" fillId="0" borderId="10" xfId="1" applyNumberFormat="1" applyFont="1" applyBorder="1" applyAlignment="1" applyProtection="1">
      <alignment horizontal="right" vertical="center"/>
    </xf>
    <xf numFmtId="199" fontId="0" fillId="0" borderId="1" xfId="0" applyNumberFormat="1" applyBorder="1" applyProtection="1"/>
    <xf numFmtId="38" fontId="0" fillId="0" borderId="0" xfId="1" applyFont="1" applyFill="1" applyBorder="1" applyAlignment="1" applyProtection="1">
      <alignment horizont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1" fillId="2" borderId="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178" fontId="0" fillId="0" borderId="1" xfId="0" applyNumberFormat="1" applyFill="1" applyBorder="1" applyAlignment="1" applyProtection="1">
      <alignment vertical="center"/>
    </xf>
    <xf numFmtId="178" fontId="0" fillId="0" borderId="1" xfId="0" applyNumberFormat="1" applyBorder="1" applyAlignment="1" applyProtection="1">
      <alignment vertical="center"/>
    </xf>
    <xf numFmtId="188" fontId="0" fillId="0" borderId="0" xfId="1" applyNumberFormat="1" applyFont="1" applyFill="1" applyBorder="1" applyAlignment="1" applyProtection="1">
      <alignment horizontal="right" vertical="center"/>
    </xf>
    <xf numFmtId="0" fontId="0" fillId="6" borderId="6" xfId="0" applyFill="1" applyBorder="1" applyProtection="1"/>
    <xf numFmtId="0" fontId="0" fillId="0" borderId="6" xfId="0" applyBorder="1" applyProtection="1"/>
    <xf numFmtId="0" fontId="0" fillId="0" borderId="28" xfId="0" applyBorder="1" applyProtection="1"/>
    <xf numFmtId="0" fontId="0" fillId="0" borderId="34" xfId="0" applyFill="1" applyBorder="1" applyProtection="1"/>
    <xf numFmtId="0" fontId="0" fillId="6" borderId="1" xfId="0" applyFill="1" applyBorder="1" applyAlignment="1">
      <alignment horizontal="center"/>
    </xf>
    <xf numFmtId="188" fontId="0" fillId="0" borderId="1" xfId="1" applyNumberFormat="1" applyFont="1" applyFill="1" applyBorder="1" applyAlignment="1" applyProtection="1">
      <alignment horizontal="right" vertical="center"/>
    </xf>
    <xf numFmtId="195" fontId="0" fillId="0" borderId="1" xfId="1" applyNumberFormat="1" applyFont="1" applyFill="1" applyBorder="1" applyAlignment="1" applyProtection="1">
      <alignment horizontal="right" vertical="center"/>
    </xf>
    <xf numFmtId="0" fontId="0" fillId="0" borderId="0" xfId="5" applyNumberFormat="1" applyFont="1" applyFill="1" applyBorder="1" applyAlignment="1" applyProtection="1">
      <alignment horizontal="center" vertical="center" shrinkToFit="1"/>
    </xf>
    <xf numFmtId="0" fontId="14" fillId="0" borderId="0" xfId="3" applyFont="1" applyFill="1" applyBorder="1" applyAlignment="1" applyProtection="1">
      <alignment vertical="center" shrinkToFit="1"/>
    </xf>
    <xf numFmtId="0" fontId="8" fillId="0" borderId="0" xfId="5" applyNumberFormat="1" applyFont="1" applyFill="1" applyBorder="1" applyAlignment="1" applyProtection="1">
      <alignment horizontal="center" vertical="center" shrinkToFit="1"/>
    </xf>
    <xf numFmtId="179" fontId="14" fillId="0" borderId="0" xfId="5" applyNumberFormat="1" applyFont="1" applyFill="1" applyBorder="1" applyAlignment="1" applyProtection="1">
      <alignment horizontal="center" vertical="center" shrinkToFit="1"/>
    </xf>
    <xf numFmtId="0" fontId="23" fillId="0" borderId="11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horizontal="right" vertical="center"/>
    </xf>
    <xf numFmtId="188" fontId="23" fillId="0" borderId="1" xfId="0" applyNumberFormat="1" applyFont="1" applyBorder="1" applyAlignment="1" applyProtection="1">
      <alignment horizontal="right" vertical="center"/>
    </xf>
    <xf numFmtId="187" fontId="23" fillId="0" borderId="11" xfId="0" applyNumberFormat="1" applyFont="1" applyBorder="1" applyAlignment="1" applyProtection="1">
      <alignment horizontal="right" vertical="center"/>
    </xf>
    <xf numFmtId="188" fontId="23" fillId="0" borderId="1" xfId="1" applyNumberFormat="1" applyFont="1" applyBorder="1" applyAlignment="1" applyProtection="1">
      <alignment horizontal="right" vertical="center"/>
    </xf>
    <xf numFmtId="192" fontId="23" fillId="0" borderId="1" xfId="0" applyNumberFormat="1" applyFont="1" applyBorder="1" applyAlignment="1" applyProtection="1">
      <alignment horizontal="right" vertical="center"/>
    </xf>
    <xf numFmtId="38" fontId="23" fillId="0" borderId="1" xfId="1" applyFont="1" applyBorder="1" applyAlignment="1" applyProtection="1">
      <alignment horizontal="right" vertical="center"/>
    </xf>
    <xf numFmtId="1" fontId="23" fillId="0" borderId="1" xfId="0" applyNumberFormat="1" applyFont="1" applyBorder="1" applyAlignment="1" applyProtection="1">
      <alignment horizontal="right" vertical="center"/>
    </xf>
    <xf numFmtId="184" fontId="23" fillId="0" borderId="1" xfId="0" applyNumberFormat="1" applyFont="1" applyBorder="1" applyAlignment="1" applyProtection="1">
      <alignment horizontal="right" vertical="center"/>
    </xf>
    <xf numFmtId="190" fontId="23" fillId="0" borderId="1" xfId="0" applyNumberFormat="1" applyFont="1" applyBorder="1" applyAlignment="1" applyProtection="1">
      <alignment horizontal="right" vertical="center"/>
    </xf>
    <xf numFmtId="198" fontId="23" fillId="0" borderId="1" xfId="0" applyNumberFormat="1" applyFont="1" applyBorder="1" applyAlignment="1" applyProtection="1">
      <alignment horizontal="right" vertical="center"/>
    </xf>
    <xf numFmtId="194" fontId="23" fillId="0" borderId="1" xfId="1" applyNumberFormat="1" applyFont="1" applyBorder="1" applyAlignment="1" applyProtection="1">
      <alignment horizontal="right" vertical="center"/>
    </xf>
    <xf numFmtId="194" fontId="23" fillId="0" borderId="1" xfId="0" applyNumberFormat="1" applyFont="1" applyBorder="1" applyAlignment="1" applyProtection="1">
      <alignment horizontal="right"/>
    </xf>
    <xf numFmtId="193" fontId="23" fillId="0" borderId="1" xfId="0" applyNumberFormat="1" applyFont="1" applyBorder="1" applyAlignment="1" applyProtection="1">
      <alignment horizontal="right" vertical="center"/>
    </xf>
    <xf numFmtId="193" fontId="23" fillId="0" borderId="1" xfId="0" applyNumberFormat="1" applyFont="1" applyBorder="1" applyAlignment="1" applyProtection="1">
      <alignment horizontal="right"/>
    </xf>
    <xf numFmtId="0" fontId="23" fillId="0" borderId="11" xfId="0" applyFont="1" applyBorder="1" applyAlignment="1" applyProtection="1">
      <alignment shrinkToFit="1"/>
    </xf>
    <xf numFmtId="38" fontId="23" fillId="0" borderId="1" xfId="1" applyFont="1" applyBorder="1" applyAlignment="1" applyProtection="1">
      <alignment horizontal="right" shrinkToFit="1"/>
    </xf>
    <xf numFmtId="0" fontId="23" fillId="0" borderId="11" xfId="0" applyFont="1" applyBorder="1" applyAlignment="1" applyProtection="1">
      <alignment horizontal="center" shrinkToFit="1"/>
    </xf>
    <xf numFmtId="38" fontId="23" fillId="0" borderId="11" xfId="1" applyFont="1" applyBorder="1" applyAlignment="1" applyProtection="1">
      <alignment horizontal="right" shrinkToFit="1"/>
    </xf>
    <xf numFmtId="0" fontId="23" fillId="0" borderId="12" xfId="0" applyFont="1" applyBorder="1" applyProtection="1"/>
    <xf numFmtId="9" fontId="23" fillId="0" borderId="11" xfId="0" applyNumberFormat="1" applyFont="1" applyBorder="1" applyAlignment="1" applyProtection="1">
      <alignment horizontal="center" shrinkToFit="1"/>
    </xf>
    <xf numFmtId="192" fontId="23" fillId="0" borderId="1" xfId="1" applyNumberFormat="1" applyFont="1" applyBorder="1" applyAlignment="1" applyProtection="1">
      <alignment horizontal="right" shrinkToFit="1"/>
    </xf>
    <xf numFmtId="184" fontId="23" fillId="0" borderId="1" xfId="0" applyNumberFormat="1" applyFont="1" applyBorder="1" applyAlignment="1" applyProtection="1">
      <alignment horizontal="right" shrinkToFit="1"/>
    </xf>
    <xf numFmtId="193" fontId="23" fillId="0" borderId="1" xfId="1" applyNumberFormat="1" applyFont="1" applyBorder="1" applyAlignment="1" applyProtection="1">
      <alignment horizontal="right" shrinkToFit="1"/>
    </xf>
    <xf numFmtId="196" fontId="23" fillId="0" borderId="11" xfId="0" applyNumberFormat="1" applyFont="1" applyBorder="1" applyAlignment="1" applyProtection="1">
      <alignment horizontal="center" shrinkToFit="1"/>
    </xf>
    <xf numFmtId="9" fontId="23" fillId="0" borderId="11" xfId="0" applyNumberFormat="1" applyFont="1" applyFill="1" applyBorder="1" applyAlignment="1" applyProtection="1">
      <alignment horizontal="center" shrinkToFit="1"/>
    </xf>
    <xf numFmtId="178" fontId="23" fillId="0" borderId="1" xfId="0" applyNumberFormat="1" applyFont="1" applyBorder="1" applyAlignment="1" applyProtection="1">
      <alignment horizontal="right" shrinkToFit="1"/>
    </xf>
    <xf numFmtId="178" fontId="23" fillId="0" borderId="1" xfId="1" applyNumberFormat="1" applyFont="1" applyBorder="1" applyAlignment="1" applyProtection="1">
      <alignment horizontal="right" shrinkToFit="1"/>
    </xf>
    <xf numFmtId="38" fontId="23" fillId="0" borderId="10" xfId="1" applyFont="1" applyBorder="1" applyAlignment="1" applyProtection="1">
      <alignment horizontal="right" vertical="center"/>
    </xf>
    <xf numFmtId="184" fontId="23" fillId="0" borderId="10" xfId="0" applyNumberFormat="1" applyFont="1" applyBorder="1" applyAlignment="1" applyProtection="1">
      <alignment horizontal="right" vertical="center"/>
    </xf>
    <xf numFmtId="193" fontId="31" fillId="0" borderId="10" xfId="1" applyNumberFormat="1" applyFont="1" applyBorder="1" applyAlignment="1" applyProtection="1">
      <alignment horizontal="right" vertical="center"/>
    </xf>
    <xf numFmtId="193" fontId="23" fillId="0" borderId="10" xfId="0" applyNumberFormat="1" applyFont="1" applyBorder="1" applyAlignment="1" applyProtection="1">
      <alignment horizontal="right" vertical="center"/>
    </xf>
    <xf numFmtId="189" fontId="23" fillId="0" borderId="10" xfId="1" applyNumberFormat="1" applyFont="1" applyBorder="1" applyAlignment="1" applyProtection="1">
      <alignment horizontal="right" vertical="center"/>
    </xf>
    <xf numFmtId="193" fontId="23" fillId="0" borderId="10" xfId="1" applyNumberFormat="1" applyFont="1" applyBorder="1" applyAlignment="1" applyProtection="1">
      <alignment horizontal="right" vertical="center"/>
    </xf>
    <xf numFmtId="0" fontId="23" fillId="0" borderId="11" xfId="0" applyFont="1" applyFill="1" applyBorder="1" applyAlignment="1" applyProtection="1">
      <alignment horizontal="right"/>
    </xf>
    <xf numFmtId="1" fontId="23" fillId="0" borderId="1" xfId="0" applyNumberFormat="1" applyFont="1" applyBorder="1" applyAlignment="1" applyProtection="1">
      <alignment horizontal="right"/>
    </xf>
    <xf numFmtId="184" fontId="23" fillId="0" borderId="1" xfId="0" applyNumberFormat="1" applyFont="1" applyBorder="1" applyAlignment="1" applyProtection="1">
      <alignment horizontal="right"/>
    </xf>
    <xf numFmtId="188" fontId="23" fillId="12" borderId="1" xfId="1" applyNumberFormat="1" applyFont="1" applyFill="1" applyBorder="1" applyAlignment="1" applyProtection="1">
      <alignment horizontal="right" vertical="center"/>
    </xf>
    <xf numFmtId="188" fontId="23" fillId="12" borderId="1" xfId="0" applyNumberFormat="1" applyFont="1" applyFill="1" applyBorder="1" applyAlignment="1" applyProtection="1">
      <alignment horizontal="right" vertical="center"/>
    </xf>
    <xf numFmtId="0" fontId="0" fillId="6" borderId="27" xfId="0" applyFill="1" applyBorder="1" applyProtection="1"/>
    <xf numFmtId="0" fontId="0" fillId="0" borderId="22" xfId="0" applyBorder="1" applyProtection="1"/>
    <xf numFmtId="0" fontId="0" fillId="13" borderId="1" xfId="0" applyFill="1" applyBorder="1" applyAlignment="1">
      <alignment horizontal="center"/>
    </xf>
    <xf numFmtId="0" fontId="0" fillId="13" borderId="0" xfId="0" applyFill="1" applyBorder="1"/>
    <xf numFmtId="0" fontId="0" fillId="13" borderId="0" xfId="0" applyFill="1"/>
    <xf numFmtId="0" fontId="0" fillId="13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15" borderId="1" xfId="2" applyFont="1" applyFill="1" applyBorder="1" applyAlignment="1" applyProtection="1">
      <protection locked="0"/>
    </xf>
    <xf numFmtId="9" fontId="0" fillId="15" borderId="1" xfId="0" applyNumberFormat="1" applyFill="1" applyBorder="1" applyAlignment="1" applyProtection="1">
      <alignment shrinkToFit="1"/>
      <protection locked="0"/>
    </xf>
    <xf numFmtId="0" fontId="0" fillId="8" borderId="1" xfId="0" applyFill="1" applyBorder="1" applyProtection="1"/>
    <xf numFmtId="0" fontId="0" fillId="10" borderId="1" xfId="0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/>
    </xf>
    <xf numFmtId="185" fontId="0" fillId="0" borderId="1" xfId="0" applyNumberFormat="1" applyFill="1" applyBorder="1" applyAlignment="1" applyProtection="1">
      <alignment shrinkToFit="1"/>
    </xf>
    <xf numFmtId="185" fontId="21" fillId="2" borderId="1" xfId="0" applyNumberFormat="1" applyFont="1" applyFill="1" applyBorder="1" applyAlignment="1" applyProtection="1">
      <protection locked="0"/>
    </xf>
    <xf numFmtId="0" fontId="19" fillId="0" borderId="0" xfId="0" applyFont="1" applyProtection="1"/>
    <xf numFmtId="0" fontId="0" fillId="0" borderId="0" xfId="0" applyFill="1" applyBorder="1" applyAlignment="1" applyProtection="1">
      <alignment shrinkToFit="1"/>
    </xf>
    <xf numFmtId="0" fontId="7" fillId="0" borderId="0" xfId="0" applyFont="1" applyFill="1" applyBorder="1" applyProtection="1"/>
    <xf numFmtId="0" fontId="0" fillId="6" borderId="2" xfId="0" applyFill="1" applyBorder="1" applyAlignment="1" applyProtection="1">
      <alignment horizontal="centerContinuous"/>
    </xf>
    <xf numFmtId="0" fontId="0" fillId="6" borderId="3" xfId="0" applyFill="1" applyBorder="1" applyAlignment="1" applyProtection="1">
      <alignment horizontal="centerContinuous"/>
    </xf>
    <xf numFmtId="0" fontId="12" fillId="6" borderId="1" xfId="0" applyFont="1" applyFill="1" applyBorder="1" applyAlignment="1" applyProtection="1">
      <alignment horizontal="centerContinuous"/>
    </xf>
    <xf numFmtId="0" fontId="0" fillId="6" borderId="1" xfId="0" applyFill="1" applyBorder="1" applyAlignment="1" applyProtection="1">
      <alignment horizontal="centerContinuous"/>
    </xf>
    <xf numFmtId="0" fontId="27" fillId="0" borderId="1" xfId="0" applyFont="1" applyBorder="1" applyAlignment="1" applyProtection="1">
      <alignment horizontal="center" shrinkToFit="1"/>
    </xf>
    <xf numFmtId="38" fontId="0" fillId="0" borderId="1" xfId="1" applyFont="1" applyFill="1" applyBorder="1" applyAlignment="1" applyProtection="1"/>
    <xf numFmtId="178" fontId="0" fillId="0" borderId="1" xfId="1" applyNumberFormat="1" applyFont="1" applyBorder="1" applyAlignment="1" applyProtection="1"/>
    <xf numFmtId="179" fontId="0" fillId="0" borderId="1" xfId="0" applyNumberFormat="1" applyBorder="1" applyProtection="1"/>
    <xf numFmtId="0" fontId="0" fillId="2" borderId="1" xfId="0" applyFill="1" applyBorder="1" applyProtection="1"/>
    <xf numFmtId="1" fontId="0" fillId="0" borderId="1" xfId="0" applyNumberFormat="1" applyFill="1" applyBorder="1" applyProtection="1"/>
    <xf numFmtId="0" fontId="27" fillId="0" borderId="1" xfId="0" applyFont="1" applyFill="1" applyBorder="1" applyAlignment="1" applyProtection="1">
      <alignment horizontal="center" shrinkToFit="1"/>
    </xf>
    <xf numFmtId="0" fontId="9" fillId="0" borderId="0" xfId="0" applyFont="1" applyAlignment="1" applyProtection="1">
      <alignment horizontal="right" vertical="center"/>
    </xf>
    <xf numFmtId="0" fontId="0" fillId="3" borderId="1" xfId="0" applyFill="1" applyBorder="1" applyAlignment="1" applyProtection="1">
      <alignment shrinkToFit="1"/>
    </xf>
    <xf numFmtId="0" fontId="0" fillId="4" borderId="1" xfId="0" applyFill="1" applyBorder="1" applyProtection="1"/>
    <xf numFmtId="0" fontId="0" fillId="0" borderId="11" xfId="0" applyBorder="1" applyProtection="1"/>
    <xf numFmtId="0" fontId="26" fillId="0" borderId="0" xfId="0" applyFont="1" applyProtection="1"/>
    <xf numFmtId="0" fontId="0" fillId="0" borderId="0" xfId="0" applyAlignment="1" applyProtection="1">
      <alignment horizontal="left"/>
    </xf>
    <xf numFmtId="0" fontId="0" fillId="6" borderId="3" xfId="0" applyNumberFormat="1" applyFill="1" applyBorder="1" applyAlignment="1" applyProtection="1">
      <alignment horizontal="center" vertical="center"/>
    </xf>
    <xf numFmtId="0" fontId="0" fillId="6" borderId="1" xfId="0" applyNumberForma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shrinkToFit="1"/>
    </xf>
    <xf numFmtId="38" fontId="0" fillId="0" borderId="1" xfId="1" applyFont="1" applyFill="1" applyBorder="1" applyAlignment="1" applyProtection="1">
      <alignment shrinkToFit="1"/>
    </xf>
    <xf numFmtId="187" fontId="0" fillId="0" borderId="1" xfId="1" applyNumberFormat="1" applyFont="1" applyFill="1" applyBorder="1" applyAlignment="1" applyProtection="1">
      <alignment shrinkToFit="1"/>
    </xf>
    <xf numFmtId="187" fontId="0" fillId="0" borderId="1" xfId="0" applyNumberFormat="1" applyFill="1" applyBorder="1" applyProtection="1"/>
    <xf numFmtId="187" fontId="0" fillId="0" borderId="11" xfId="1" applyNumberFormat="1" applyFont="1" applyFill="1" applyBorder="1" applyAlignment="1" applyProtection="1">
      <alignment shrinkToFit="1"/>
    </xf>
    <xf numFmtId="187" fontId="0" fillId="0" borderId="11" xfId="0" applyNumberFormat="1" applyFill="1" applyBorder="1" applyProtection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/>
    </xf>
    <xf numFmtId="9" fontId="0" fillId="0" borderId="0" xfId="2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/>
    </xf>
    <xf numFmtId="0" fontId="0" fillId="6" borderId="2" xfId="0" applyFill="1" applyBorder="1" applyAlignment="1" applyProtection="1">
      <alignment horizontal="center" vertical="center"/>
    </xf>
    <xf numFmtId="9" fontId="0" fillId="0" borderId="25" xfId="2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 wrapText="1"/>
    </xf>
    <xf numFmtId="38" fontId="0" fillId="0" borderId="1" xfId="0" applyNumberFormat="1" applyBorder="1" applyAlignment="1" applyProtection="1">
      <alignment vertical="center"/>
    </xf>
    <xf numFmtId="38" fontId="0" fillId="0" borderId="2" xfId="0" applyNumberFormat="1" applyBorder="1" applyAlignment="1" applyProtection="1">
      <alignment vertical="center"/>
    </xf>
    <xf numFmtId="38" fontId="0" fillId="0" borderId="1" xfId="0" applyNumberForma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84" fontId="0" fillId="0" borderId="2" xfId="0" applyNumberFormat="1" applyBorder="1" applyAlignment="1" applyProtection="1">
      <alignment vertical="center"/>
    </xf>
    <xf numFmtId="184" fontId="23" fillId="12" borderId="1" xfId="0" applyNumberFormat="1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top"/>
    </xf>
    <xf numFmtId="184" fontId="0" fillId="0" borderId="1" xfId="0" applyNumberFormat="1" applyFill="1" applyBorder="1" applyAlignment="1" applyProtection="1">
      <alignment vertical="center" wrapText="1"/>
    </xf>
    <xf numFmtId="0" fontId="31" fillId="0" borderId="0" xfId="0" applyFont="1" applyProtection="1"/>
    <xf numFmtId="0" fontId="23" fillId="6" borderId="16" xfId="0" applyFont="1" applyFill="1" applyBorder="1" applyAlignment="1" applyProtection="1">
      <alignment vertical="top"/>
    </xf>
    <xf numFmtId="0" fontId="23" fillId="6" borderId="17" xfId="0" applyFont="1" applyFill="1" applyBorder="1" applyAlignment="1" applyProtection="1">
      <alignment vertical="top"/>
    </xf>
    <xf numFmtId="0" fontId="23" fillId="6" borderId="29" xfId="0" applyFont="1" applyFill="1" applyBorder="1" applyAlignment="1" applyProtection="1">
      <alignment vertical="top"/>
    </xf>
    <xf numFmtId="0" fontId="33" fillId="0" borderId="30" xfId="6" applyFont="1" applyFill="1" applyBorder="1" applyAlignment="1" applyProtection="1">
      <alignment vertical="top"/>
    </xf>
    <xf numFmtId="0" fontId="25" fillId="0" borderId="17" xfId="6" applyFill="1" applyBorder="1" applyAlignment="1" applyProtection="1">
      <alignment vertical="top"/>
    </xf>
    <xf numFmtId="0" fontId="25" fillId="0" borderId="18" xfId="6" applyFill="1" applyBorder="1" applyAlignment="1" applyProtection="1">
      <alignment vertical="top"/>
    </xf>
    <xf numFmtId="0" fontId="25" fillId="0" borderId="32" xfId="6" applyFill="1" applyBorder="1" applyAlignment="1" applyProtection="1">
      <alignment vertical="top"/>
    </xf>
    <xf numFmtId="0" fontId="23" fillId="6" borderId="26" xfId="0" applyFont="1" applyFill="1" applyBorder="1" applyAlignment="1" applyProtection="1">
      <alignment vertical="top"/>
    </xf>
    <xf numFmtId="0" fontId="23" fillId="6" borderId="21" xfId="0" applyFont="1" applyFill="1" applyBorder="1" applyAlignment="1" applyProtection="1">
      <alignment vertical="top"/>
    </xf>
    <xf numFmtId="0" fontId="23" fillId="6" borderId="27" xfId="0" applyFont="1" applyFill="1" applyBorder="1" applyAlignment="1" applyProtection="1">
      <alignment vertical="top"/>
    </xf>
    <xf numFmtId="0" fontId="25" fillId="0" borderId="20" xfId="6" applyFill="1" applyBorder="1" applyAlignment="1" applyProtection="1">
      <alignment vertical="top"/>
    </xf>
    <xf numFmtId="0" fontId="25" fillId="0" borderId="21" xfId="6" applyFill="1" applyBorder="1" applyAlignment="1" applyProtection="1">
      <alignment vertical="top"/>
    </xf>
    <xf numFmtId="0" fontId="25" fillId="0" borderId="22" xfId="6" applyFill="1" applyBorder="1" applyAlignment="1" applyProtection="1">
      <alignment vertical="top"/>
    </xf>
    <xf numFmtId="0" fontId="36" fillId="0" borderId="0" xfId="6" applyFont="1" applyProtection="1"/>
    <xf numFmtId="0" fontId="20" fillId="0" borderId="0" xfId="0" applyFont="1" applyAlignment="1" applyProtection="1">
      <alignment horizontal="center"/>
    </xf>
    <xf numFmtId="0" fontId="0" fillId="6" borderId="5" xfId="0" applyFill="1" applyBorder="1" applyAlignment="1" applyProtection="1">
      <alignment horizontal="centerContinuous"/>
    </xf>
    <xf numFmtId="0" fontId="32" fillId="6" borderId="1" xfId="0" applyFont="1" applyFill="1" applyBorder="1" applyAlignment="1" applyProtection="1">
      <alignment horizontal="left"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180" fontId="0" fillId="6" borderId="1" xfId="0" applyNumberFormat="1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 wrapText="1"/>
    </xf>
    <xf numFmtId="0" fontId="23" fillId="0" borderId="11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right"/>
    </xf>
    <xf numFmtId="0" fontId="23" fillId="0" borderId="11" xfId="0" applyFont="1" applyBorder="1" applyProtection="1"/>
    <xf numFmtId="0" fontId="23" fillId="0" borderId="11" xfId="0" applyFont="1" applyBorder="1" applyAlignment="1" applyProtection="1">
      <alignment horizontal="right"/>
    </xf>
    <xf numFmtId="38" fontId="23" fillId="0" borderId="11" xfId="1" applyFont="1" applyBorder="1" applyAlignment="1" applyProtection="1">
      <alignment horizontal="right"/>
    </xf>
    <xf numFmtId="38" fontId="23" fillId="0" borderId="1" xfId="1" applyFont="1" applyBorder="1" applyAlignment="1" applyProtection="1">
      <alignment horizontal="right"/>
    </xf>
    <xf numFmtId="0" fontId="23" fillId="0" borderId="11" xfId="0" applyFont="1" applyBorder="1" applyAlignment="1" applyProtection="1">
      <alignment horizontal="center" wrapText="1"/>
    </xf>
    <xf numFmtId="38" fontId="31" fillId="0" borderId="11" xfId="1" applyFont="1" applyFill="1" applyBorder="1" applyAlignment="1" applyProtection="1"/>
    <xf numFmtId="193" fontId="23" fillId="0" borderId="1" xfId="0" applyNumberFormat="1" applyFont="1" applyFill="1" applyBorder="1" applyAlignment="1" applyProtection="1">
      <alignment horizontal="right"/>
    </xf>
    <xf numFmtId="188" fontId="23" fillId="0" borderId="1" xfId="1" applyNumberFormat="1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wrapText="1"/>
    </xf>
    <xf numFmtId="180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center"/>
    </xf>
    <xf numFmtId="38" fontId="21" fillId="0" borderId="1" xfId="1" applyFont="1" applyFill="1" applyBorder="1" applyAlignment="1" applyProtection="1"/>
    <xf numFmtId="188" fontId="0" fillId="0" borderId="1" xfId="1" applyNumberFormat="1" applyFont="1" applyFill="1" applyBorder="1" applyAlignment="1" applyProtection="1"/>
    <xf numFmtId="0" fontId="0" fillId="0" borderId="0" xfId="0" applyFill="1" applyBorder="1" applyAlignment="1" applyProtection="1">
      <alignment wrapText="1"/>
    </xf>
    <xf numFmtId="18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right"/>
    </xf>
    <xf numFmtId="38" fontId="0" fillId="0" borderId="0" xfId="1" applyFont="1" applyFill="1" applyBorder="1" applyAlignment="1" applyProtection="1">
      <alignment horizontal="right"/>
    </xf>
    <xf numFmtId="184" fontId="0" fillId="0" borderId="0" xfId="0" applyNumberFormat="1" applyFill="1" applyBorder="1" applyAlignment="1" applyProtection="1">
      <alignment horizontal="right"/>
    </xf>
    <xf numFmtId="38" fontId="21" fillId="0" borderId="0" xfId="1" applyFont="1" applyFill="1" applyBorder="1" applyAlignment="1" applyProtection="1"/>
    <xf numFmtId="38" fontId="0" fillId="0" borderId="0" xfId="1" applyFont="1" applyFill="1" applyBorder="1" applyAlignment="1" applyProtection="1"/>
    <xf numFmtId="193" fontId="0" fillId="0" borderId="0" xfId="0" applyNumberFormat="1" applyFill="1" applyBorder="1" applyAlignment="1" applyProtection="1">
      <alignment horizontal="right"/>
    </xf>
    <xf numFmtId="188" fontId="0" fillId="0" borderId="0" xfId="1" applyNumberFormat="1" applyFont="1" applyFill="1" applyBorder="1" applyAlignment="1" applyProtection="1"/>
    <xf numFmtId="0" fontId="5" fillId="0" borderId="0" xfId="0" applyFont="1" applyFill="1" applyProtection="1"/>
    <xf numFmtId="0" fontId="36" fillId="0" borderId="0" xfId="6" applyFont="1" applyFill="1" applyProtection="1"/>
    <xf numFmtId="0" fontId="0" fillId="0" borderId="0" xfId="0" applyFill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38" fontId="0" fillId="0" borderId="11" xfId="1" applyFont="1" applyBorder="1" applyAlignment="1" applyProtection="1">
      <alignment horizontal="right"/>
    </xf>
    <xf numFmtId="0" fontId="0" fillId="0" borderId="11" xfId="0" applyBorder="1" applyAlignment="1" applyProtection="1">
      <alignment horizontal="center" wrapText="1"/>
    </xf>
    <xf numFmtId="38" fontId="21" fillId="0" borderId="11" xfId="1" applyFont="1" applyFill="1" applyBorder="1" applyAlignment="1" applyProtection="1"/>
    <xf numFmtId="188" fontId="0" fillId="0" borderId="1" xfId="1" applyNumberFormat="1" applyFont="1" applyFill="1" applyBorder="1" applyAlignment="1" applyProtection="1">
      <alignment horizontal="right"/>
    </xf>
    <xf numFmtId="0" fontId="0" fillId="0" borderId="0" xfId="0" applyFill="1" applyAlignment="1" applyProtection="1"/>
    <xf numFmtId="9" fontId="0" fillId="0" borderId="0" xfId="2" applyFont="1" applyFill="1" applyBorder="1" applyAlignment="1" applyProtection="1">
      <alignment horizontal="center"/>
    </xf>
    <xf numFmtId="0" fontId="25" fillId="0" borderId="30" xfId="6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6" borderId="21" xfId="0" applyFill="1" applyBorder="1" applyAlignment="1" applyProtection="1">
      <alignment vertical="top"/>
    </xf>
    <xf numFmtId="0" fontId="25" fillId="0" borderId="20" xfId="6" applyFill="1" applyBorder="1" applyAlignment="1" applyProtection="1">
      <alignment horizontal="left" vertical="top"/>
    </xf>
    <xf numFmtId="0" fontId="0" fillId="0" borderId="21" xfId="0" applyFill="1" applyBorder="1" applyAlignment="1" applyProtection="1">
      <alignment horizontal="left" vertical="top"/>
    </xf>
    <xf numFmtId="9" fontId="0" fillId="15" borderId="1" xfId="2" applyFont="1" applyFill="1" applyBorder="1" applyAlignment="1" applyProtection="1"/>
    <xf numFmtId="0" fontId="0" fillId="6" borderId="2" xfId="0" applyFill="1" applyBorder="1" applyAlignment="1" applyProtection="1">
      <alignment vertical="center"/>
    </xf>
    <xf numFmtId="0" fontId="0" fillId="6" borderId="5" xfId="0" applyFill="1" applyBorder="1" applyAlignment="1" applyProtection="1">
      <alignment vertical="center"/>
    </xf>
    <xf numFmtId="0" fontId="0" fillId="6" borderId="6" xfId="0" applyFill="1" applyBorder="1" applyAlignment="1" applyProtection="1"/>
    <xf numFmtId="0" fontId="24" fillId="8" borderId="2" xfId="0" applyFont="1" applyFill="1" applyBorder="1" applyAlignment="1" applyProtection="1"/>
    <xf numFmtId="0" fontId="24" fillId="8" borderId="5" xfId="0" applyFont="1" applyFill="1" applyBorder="1" applyAlignment="1" applyProtection="1"/>
    <xf numFmtId="0" fontId="24" fillId="10" borderId="2" xfId="0" applyFont="1" applyFill="1" applyBorder="1" applyAlignment="1" applyProtection="1"/>
    <xf numFmtId="0" fontId="24" fillId="10" borderId="5" xfId="0" applyFont="1" applyFill="1" applyBorder="1" applyAlignment="1" applyProtection="1"/>
    <xf numFmtId="0" fontId="0" fillId="3" borderId="1" xfId="0" applyFill="1" applyBorder="1" applyAlignment="1" applyProtection="1">
      <alignment wrapText="1"/>
    </xf>
    <xf numFmtId="188" fontId="0" fillId="2" borderId="1" xfId="0" applyNumberFormat="1" applyFill="1" applyBorder="1" applyProtection="1"/>
    <xf numFmtId="192" fontId="0" fillId="2" borderId="1" xfId="0" applyNumberFormat="1" applyFill="1" applyBorder="1" applyProtection="1"/>
    <xf numFmtId="187" fontId="0" fillId="2" borderId="1" xfId="0" applyNumberFormat="1" applyFill="1" applyBorder="1" applyProtection="1"/>
    <xf numFmtId="188" fontId="0" fillId="2" borderId="1" xfId="1" applyNumberFormat="1" applyFont="1" applyFill="1" applyBorder="1" applyAlignment="1" applyProtection="1"/>
    <xf numFmtId="190" fontId="0" fillId="2" borderId="1" xfId="0" applyNumberFormat="1" applyFill="1" applyBorder="1" applyProtection="1"/>
    <xf numFmtId="184" fontId="23" fillId="12" borderId="1" xfId="0" applyNumberFormat="1" applyFont="1" applyFill="1" applyBorder="1" applyAlignment="1" applyProtection="1">
      <alignment horizontal="right" vertical="center" wrapText="1"/>
    </xf>
    <xf numFmtId="38" fontId="0" fillId="0" borderId="0" xfId="1" applyNumberFormat="1" applyFont="1" applyFill="1" applyBorder="1" applyAlignment="1" applyProtection="1">
      <alignment horizontal="center" vertical="center"/>
    </xf>
    <xf numFmtId="38" fontId="0" fillId="0" borderId="0" xfId="1" applyNumberFormat="1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shrinkToFit="1"/>
    </xf>
    <xf numFmtId="0" fontId="0" fillId="3" borderId="1" xfId="0" applyFill="1" applyBorder="1" applyAlignment="1" applyProtection="1">
      <alignment vertical="center" shrinkToFit="1"/>
    </xf>
    <xf numFmtId="186" fontId="0" fillId="2" borderId="1" xfId="0" applyNumberForma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horizontal="left"/>
    </xf>
    <xf numFmtId="177" fontId="0" fillId="2" borderId="1" xfId="0" applyNumberFormat="1" applyFill="1" applyBorder="1" applyAlignment="1" applyProtection="1">
      <alignment shrinkToFit="1"/>
    </xf>
    <xf numFmtId="9" fontId="0" fillId="15" borderId="1" xfId="0" applyNumberFormat="1" applyFill="1" applyBorder="1" applyAlignment="1" applyProtection="1">
      <alignment shrinkToFit="1"/>
    </xf>
    <xf numFmtId="191" fontId="0" fillId="2" borderId="1" xfId="0" applyNumberFormat="1" applyFill="1" applyBorder="1" applyAlignment="1" applyProtection="1">
      <alignment shrinkToFit="1"/>
    </xf>
    <xf numFmtId="9" fontId="0" fillId="0" borderId="0" xfId="2" applyFont="1" applyFill="1" applyBorder="1" applyAlignment="1" applyProtection="1">
      <alignment horizontal="right"/>
    </xf>
    <xf numFmtId="0" fontId="23" fillId="6" borderId="31" xfId="0" applyFont="1" applyFill="1" applyBorder="1" applyAlignment="1" applyProtection="1">
      <alignment vertical="top"/>
    </xf>
    <xf numFmtId="0" fontId="0" fillId="6" borderId="6" xfId="0" applyFill="1" applyBorder="1" applyAlignment="1" applyProtection="1">
      <alignment vertical="top"/>
    </xf>
    <xf numFmtId="0" fontId="25" fillId="0" borderId="4" xfId="6" applyFill="1" applyBorder="1" applyAlignment="1" applyProtection="1">
      <alignment horizontal="left" vertical="top"/>
    </xf>
    <xf numFmtId="0" fontId="0" fillId="0" borderId="6" xfId="0" applyFill="1" applyBorder="1" applyAlignment="1" applyProtection="1">
      <alignment horizontal="left" vertical="top"/>
    </xf>
    <xf numFmtId="0" fontId="23" fillId="0" borderId="34" xfId="0" applyFont="1" applyFill="1" applyBorder="1" applyAlignment="1" applyProtection="1">
      <alignment vertical="top"/>
    </xf>
    <xf numFmtId="0" fontId="25" fillId="0" borderId="34" xfId="6" applyFill="1" applyBorder="1" applyAlignment="1" applyProtection="1">
      <alignment vertical="top"/>
    </xf>
    <xf numFmtId="0" fontId="0" fillId="6" borderId="5" xfId="0" applyFill="1" applyBorder="1" applyAlignment="1" applyProtection="1">
      <alignment horizontal="center"/>
    </xf>
    <xf numFmtId="0" fontId="0" fillId="6" borderId="1" xfId="0" applyNumberFormat="1" applyFill="1" applyBorder="1" applyAlignment="1" applyProtection="1">
      <alignment horizontal="left" vertical="center" wrapText="1"/>
    </xf>
    <xf numFmtId="0" fontId="23" fillId="0" borderId="1" xfId="0" applyFont="1" applyBorder="1" applyAlignment="1" applyProtection="1"/>
    <xf numFmtId="0" fontId="23" fillId="0" borderId="0" xfId="0" applyFont="1" applyFill="1" applyProtection="1"/>
    <xf numFmtId="0" fontId="23" fillId="0" borderId="1" xfId="0" applyFont="1" applyBorder="1" applyProtection="1"/>
    <xf numFmtId="0" fontId="23" fillId="0" borderId="11" xfId="0" applyFont="1" applyFill="1" applyBorder="1" applyProtection="1"/>
    <xf numFmtId="186" fontId="0" fillId="3" borderId="1" xfId="0" applyNumberFormat="1" applyFill="1" applyBorder="1" applyAlignment="1" applyProtection="1">
      <alignment horizontal="center"/>
    </xf>
    <xf numFmtId="177" fontId="0" fillId="0" borderId="1" xfId="0" applyNumberFormat="1" applyBorder="1" applyProtection="1"/>
    <xf numFmtId="0" fontId="21" fillId="3" borderId="1" xfId="0" applyFont="1" applyFill="1" applyBorder="1" applyAlignment="1" applyProtection="1">
      <alignment horizontal="center"/>
    </xf>
    <xf numFmtId="0" fontId="21" fillId="2" borderId="1" xfId="0" applyFont="1" applyFill="1" applyBorder="1" applyAlignment="1" applyProtection="1"/>
    <xf numFmtId="193" fontId="24" fillId="0" borderId="1" xfId="1" applyNumberFormat="1" applyFont="1" applyFill="1" applyBorder="1" applyAlignment="1" applyProtection="1"/>
    <xf numFmtId="2" fontId="0" fillId="2" borderId="1" xfId="0" applyNumberFormat="1" applyFill="1" applyBorder="1" applyAlignment="1" applyProtection="1">
      <alignment shrinkToFit="1"/>
    </xf>
    <xf numFmtId="0" fontId="0" fillId="3" borderId="1" xfId="0" applyFill="1" applyBorder="1" applyProtection="1"/>
    <xf numFmtId="0" fontId="0" fillId="0" borderId="1" xfId="0" applyNumberFormat="1" applyFill="1" applyBorder="1" applyProtection="1"/>
    <xf numFmtId="189" fontId="0" fillId="0" borderId="1" xfId="1" applyNumberFormat="1" applyFont="1" applyBorder="1" applyAlignment="1" applyProtection="1"/>
    <xf numFmtId="193" fontId="0" fillId="0" borderId="1" xfId="1" applyNumberFormat="1" applyFont="1" applyFill="1" applyBorder="1" applyAlignment="1" applyProtection="1"/>
    <xf numFmtId="0" fontId="24" fillId="2" borderId="1" xfId="0" applyFont="1" applyFill="1" applyBorder="1" applyAlignment="1" applyProtection="1"/>
    <xf numFmtId="0" fontId="0" fillId="0" borderId="1" xfId="0" applyBorder="1" applyAlignment="1" applyProtection="1"/>
    <xf numFmtId="38" fontId="0" fillId="0" borderId="0" xfId="0" applyNumberFormat="1" applyProtection="1"/>
    <xf numFmtId="176" fontId="21" fillId="2" borderId="1" xfId="0" applyNumberFormat="1" applyFont="1" applyFill="1" applyBorder="1" applyAlignment="1" applyProtection="1"/>
    <xf numFmtId="185" fontId="0" fillId="0" borderId="3" xfId="0" applyNumberFormat="1" applyFill="1" applyBorder="1" applyProtection="1"/>
    <xf numFmtId="0" fontId="24" fillId="3" borderId="1" xfId="0" applyFont="1" applyFill="1" applyBorder="1" applyAlignment="1" applyProtection="1">
      <alignment horizontal="center"/>
    </xf>
    <xf numFmtId="176" fontId="24" fillId="2" borderId="1" xfId="0" applyNumberFormat="1" applyFont="1" applyFill="1" applyBorder="1" applyAlignment="1" applyProtection="1"/>
    <xf numFmtId="189" fontId="0" fillId="0" borderId="0" xfId="1" applyNumberFormat="1" applyFont="1" applyFill="1" applyBorder="1" applyAlignment="1" applyProtection="1">
      <alignment vertical="center" wrapText="1"/>
    </xf>
    <xf numFmtId="189" fontId="0" fillId="0" borderId="1" xfId="1" applyNumberFormat="1" applyFont="1" applyBorder="1" applyAlignment="1" applyProtection="1">
      <alignment vertical="center" wrapText="1"/>
    </xf>
    <xf numFmtId="188" fontId="0" fillId="0" borderId="0" xfId="0" applyNumberFormat="1" applyFill="1" applyBorder="1" applyAlignment="1" applyProtection="1">
      <alignment vertical="center" wrapText="1"/>
    </xf>
    <xf numFmtId="9" fontId="0" fillId="0" borderId="0" xfId="2" applyFont="1" applyBorder="1" applyAlignment="1" applyProtection="1">
      <alignment vertical="center"/>
    </xf>
    <xf numFmtId="188" fontId="0" fillId="0" borderId="1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28" fillId="0" borderId="30" xfId="6" applyFont="1" applyFill="1" applyBorder="1" applyAlignment="1" applyProtection="1">
      <alignment horizontal="left" vertical="top"/>
    </xf>
    <xf numFmtId="0" fontId="0" fillId="0" borderId="18" xfId="0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left" vertical="top"/>
    </xf>
    <xf numFmtId="0" fontId="0" fillId="6" borderId="1" xfId="0" applyNumberForma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6" borderId="1" xfId="0" applyFill="1" applyBorder="1" applyAlignment="1" applyProtection="1"/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21" fillId="2" borderId="1" xfId="0" applyFon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3" fillId="0" borderId="0" xfId="4" applyProtection="1">
      <alignment vertical="center"/>
    </xf>
    <xf numFmtId="0" fontId="2" fillId="0" borderId="0" xfId="4" applyFont="1" applyProtection="1">
      <alignment vertical="center"/>
    </xf>
    <xf numFmtId="0" fontId="25" fillId="0" borderId="0" xfId="6" applyAlignment="1" applyProtection="1">
      <alignment vertical="center"/>
    </xf>
    <xf numFmtId="181" fontId="0" fillId="0" borderId="1" xfId="5" applyNumberFormat="1" applyFont="1" applyFill="1" applyBorder="1" applyAlignment="1" applyProtection="1">
      <alignment vertical="center" shrinkToFit="1"/>
    </xf>
    <xf numFmtId="0" fontId="14" fillId="0" borderId="1" xfId="3" applyFont="1" applyBorder="1" applyProtection="1">
      <alignment vertical="center"/>
    </xf>
    <xf numFmtId="0" fontId="14" fillId="0" borderId="1" xfId="3" applyFont="1" applyBorder="1" applyAlignment="1" applyProtection="1">
      <alignment vertical="center" wrapText="1"/>
    </xf>
    <xf numFmtId="0" fontId="35" fillId="0" borderId="0" xfId="4" applyFont="1" applyProtection="1">
      <alignment vertical="center"/>
    </xf>
    <xf numFmtId="0" fontId="3" fillId="0" borderId="0" xfId="4" applyFill="1" applyBorder="1" applyProtection="1">
      <alignment vertical="center"/>
    </xf>
    <xf numFmtId="180" fontId="0" fillId="0" borderId="0" xfId="5" applyNumberFormat="1" applyFont="1" applyFill="1" applyBorder="1" applyAlignment="1" applyProtection="1">
      <alignment horizontal="right" vertical="center" shrinkToFit="1"/>
    </xf>
    <xf numFmtId="181" fontId="0" fillId="0" borderId="0" xfId="5" applyNumberFormat="1" applyFont="1" applyFill="1" applyBorder="1" applyAlignment="1" applyProtection="1">
      <alignment vertical="center" shrinkToFit="1"/>
    </xf>
    <xf numFmtId="0" fontId="14" fillId="0" borderId="0" xfId="3" applyFont="1" applyFill="1" applyBorder="1" applyAlignment="1" applyProtection="1">
      <alignment vertical="center"/>
    </xf>
    <xf numFmtId="182" fontId="0" fillId="0" borderId="1" xfId="5" applyNumberFormat="1" applyFont="1" applyFill="1" applyBorder="1" applyAlignment="1" applyProtection="1">
      <alignment horizontal="right" vertical="center" shrinkToFit="1"/>
    </xf>
    <xf numFmtId="0" fontId="14" fillId="0" borderId="1" xfId="3" applyFont="1" applyFill="1" applyBorder="1" applyProtection="1">
      <alignment vertical="center"/>
    </xf>
    <xf numFmtId="0" fontId="1" fillId="0" borderId="0" xfId="4" applyFont="1" applyProtection="1">
      <alignment vertical="center"/>
    </xf>
    <xf numFmtId="0" fontId="14" fillId="0" borderId="1" xfId="0" applyFont="1" applyFill="1" applyBorder="1" applyAlignment="1" applyProtection="1">
      <alignment vertical="center" wrapText="1" shrinkToFit="1"/>
    </xf>
    <xf numFmtId="179" fontId="3" fillId="0" borderId="0" xfId="4" applyNumberFormat="1" applyProtection="1">
      <alignment vertical="center"/>
    </xf>
    <xf numFmtId="185" fontId="24" fillId="2" borderId="1" xfId="0" applyNumberFormat="1" applyFont="1" applyFill="1" applyBorder="1" applyAlignment="1" applyProtection="1">
      <protection locked="0"/>
    </xf>
    <xf numFmtId="185" fontId="0" fillId="0" borderId="1" xfId="0" applyNumberFormat="1" applyFill="1" applyBorder="1" applyProtection="1"/>
    <xf numFmtId="0" fontId="0" fillId="6" borderId="1" xfId="0" applyFill="1" applyBorder="1" applyAlignment="1" applyProtection="1">
      <alignment horizontal="center"/>
    </xf>
    <xf numFmtId="9" fontId="0" fillId="6" borderId="1" xfId="2" applyFont="1" applyFill="1" applyBorder="1" applyAlignment="1" applyProtection="1">
      <alignment horizontal="center"/>
    </xf>
    <xf numFmtId="9" fontId="0" fillId="0" borderId="1" xfId="0" applyNumberFormat="1" applyFill="1" applyBorder="1" applyAlignment="1" applyProtection="1">
      <alignment shrinkToFit="1"/>
    </xf>
    <xf numFmtId="0" fontId="24" fillId="9" borderId="1" xfId="0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6" borderId="19" xfId="0" applyFill="1" applyBorder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24" xfId="0" applyFill="1" applyBorder="1" applyAlignment="1" applyProtection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23" fillId="6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23" fillId="6" borderId="1" xfId="0" applyFont="1" applyFill="1" applyBorder="1" applyAlignment="1" applyProtection="1">
      <alignment horizontal="center" vertical="top"/>
    </xf>
    <xf numFmtId="0" fontId="23" fillId="0" borderId="1" xfId="0" applyFont="1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shrinkToFit="1"/>
    </xf>
    <xf numFmtId="0" fontId="0" fillId="6" borderId="3" xfId="0" applyFill="1" applyBorder="1" applyAlignment="1" applyProtection="1">
      <alignment horizontal="center" vertical="center" shrinkToFit="1"/>
    </xf>
    <xf numFmtId="0" fontId="0" fillId="6" borderId="1" xfId="0" applyFill="1" applyBorder="1" applyAlignment="1" applyProtection="1">
      <alignment horizontal="center" shrinkToFit="1"/>
    </xf>
    <xf numFmtId="0" fontId="23" fillId="6" borderId="2" xfId="0" applyFont="1" applyFill="1" applyBorder="1" applyAlignment="1" applyProtection="1">
      <alignment horizontal="center" vertical="top"/>
    </xf>
    <xf numFmtId="0" fontId="23" fillId="6" borderId="5" xfId="0" applyFont="1" applyFill="1" applyBorder="1" applyAlignment="1" applyProtection="1">
      <alignment horizontal="center" vertical="top"/>
    </xf>
    <xf numFmtId="0" fontId="23" fillId="6" borderId="3" xfId="0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23" fillId="6" borderId="2" xfId="0" applyFont="1" applyFill="1" applyBorder="1" applyAlignment="1" applyProtection="1">
      <alignment horizontal="center"/>
    </xf>
    <xf numFmtId="0" fontId="23" fillId="6" borderId="5" xfId="0" applyFont="1" applyFill="1" applyBorder="1" applyAlignment="1" applyProtection="1">
      <alignment horizontal="center"/>
    </xf>
    <xf numFmtId="0" fontId="23" fillId="6" borderId="3" xfId="0" applyFont="1" applyFill="1" applyBorder="1" applyAlignment="1" applyProtection="1">
      <alignment horizontal="center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0" fillId="6" borderId="23" xfId="0" applyFill="1" applyBorder="1" applyAlignment="1" applyProtection="1">
      <alignment horizontal="center" vertical="center" wrapText="1"/>
    </xf>
    <xf numFmtId="0" fontId="0" fillId="6" borderId="10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/>
    </xf>
    <xf numFmtId="9" fontId="0" fillId="6" borderId="1" xfId="2" applyFont="1" applyFill="1" applyBorder="1" applyAlignment="1" applyProtection="1">
      <alignment horizontal="center"/>
    </xf>
    <xf numFmtId="9" fontId="0" fillId="0" borderId="1" xfId="2" applyFont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top" wrapText="1"/>
    </xf>
    <xf numFmtId="0" fontId="0" fillId="6" borderId="3" xfId="0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alignment horizontal="center" vertical="top"/>
      <protection locked="0"/>
    </xf>
    <xf numFmtId="0" fontId="23" fillId="6" borderId="1" xfId="0" applyFont="1" applyFill="1" applyBorder="1" applyAlignment="1" applyProtection="1">
      <alignment horizontal="center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3" fillId="0" borderId="25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36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3" xfId="0" applyFill="1" applyBorder="1" applyAlignment="1" applyProtection="1">
      <alignment horizontal="center" shrinkToFit="1"/>
      <protection locked="0"/>
    </xf>
    <xf numFmtId="0" fontId="23" fillId="0" borderId="1" xfId="0" applyFont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top" shrinkToFit="1"/>
    </xf>
    <xf numFmtId="0" fontId="0" fillId="6" borderId="3" xfId="0" applyFill="1" applyBorder="1" applyAlignment="1" applyProtection="1">
      <alignment horizontal="center" vertical="top" shrinkToFit="1"/>
    </xf>
    <xf numFmtId="0" fontId="0" fillId="6" borderId="2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5" borderId="1" xfId="2" applyNumberFormat="1" applyFont="1" applyFill="1" applyBorder="1" applyAlignment="1" applyProtection="1">
      <protection locked="0"/>
    </xf>
    <xf numFmtId="191" fontId="0" fillId="0" borderId="1" xfId="0" applyNumberFormat="1" applyBorder="1" applyProtection="1"/>
  </cellXfs>
  <cellStyles count="7">
    <cellStyle name="パーセント" xfId="2" builtinId="5"/>
    <cellStyle name="ハイパーリンク" xfId="6" builtinId="8"/>
    <cellStyle name="桁区切り" xfId="1" builtinId="6"/>
    <cellStyle name="桁区切り 2" xfId="5"/>
    <cellStyle name="標準" xfId="0" builtinId="0"/>
    <cellStyle name="標準 2" xfId="3"/>
    <cellStyle name="標準 5 8" xfId="4"/>
  </cellStyles>
  <dxfs count="8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70C0"/>
      </font>
      <fill>
        <patternFill>
          <bgColor theme="7" tint="0.39994506668294322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ont>
        <color rgb="FF0070C0"/>
      </font>
      <fill>
        <patternFill>
          <bgColor theme="7" tint="0.39994506668294322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ont>
        <color rgb="FF0070C0"/>
      </font>
      <fill>
        <patternFill>
          <bgColor theme="7" tint="0.39994506668294322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ont>
        <color rgb="FF0070C0"/>
      </font>
      <fill>
        <patternFill>
          <bgColor theme="7" tint="0.39994506668294322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4B4B"/>
        </patternFill>
      </fill>
    </dxf>
    <dxf>
      <font>
        <strike val="0"/>
        <color rgb="FF0070C0"/>
      </font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2CC"/>
      <color rgb="FFFFFFCC"/>
      <color rgb="FF66CCFF"/>
      <color rgb="FFCCFFFF"/>
      <color rgb="FFCFFAFF"/>
      <color rgb="FFFFCC99"/>
      <color rgb="FFFF9696"/>
      <color rgb="FFFBFBFB"/>
      <color rgb="FFF0F0F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462772</xdr:colOff>
      <xdr:row>0</xdr:row>
      <xdr:rowOff>154108</xdr:rowOff>
    </xdr:from>
    <xdr:to>
      <xdr:col>14</xdr:col>
      <xdr:colOff>0</xdr:colOff>
      <xdr:row>3</xdr:row>
      <xdr:rowOff>0</xdr:rowOff>
    </xdr:to>
    <xdr:grpSp>
      <xdr:nvGrpSpPr>
        <xdr:cNvPr id="2" name="グループ化 1"/>
        <xdr:cNvGrpSpPr/>
      </xdr:nvGrpSpPr>
      <xdr:grpSpPr>
        <a:xfrm>
          <a:off x="9174972" y="154108"/>
          <a:ext cx="2153428" cy="671392"/>
          <a:chOff x="17123228" y="2906486"/>
          <a:chExt cx="2144486" cy="685800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17123228" y="2906486"/>
            <a:ext cx="2144486" cy="6858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●凡例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7351828" y="3167743"/>
            <a:ext cx="772886" cy="370114"/>
          </a:xfrm>
          <a:prstGeom prst="rect">
            <a:avLst/>
          </a:prstGeom>
          <a:solidFill>
            <a:srgbClr val="FFF2CC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入力セル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18277114" y="3167744"/>
            <a:ext cx="772886" cy="37011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選択セル</a:t>
            </a:r>
          </a:p>
        </xdr:txBody>
      </xdr:sp>
    </xdr:grpSp>
    <xdr:clientData/>
  </xdr:twoCellAnchor>
  <xdr:twoCellAnchor>
    <xdr:from>
      <xdr:col>6</xdr:col>
      <xdr:colOff>0</xdr:colOff>
      <xdr:row>11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3759200" y="2654300"/>
          <a:ext cx="3302000" cy="914400"/>
        </a:xfrm>
        <a:prstGeom prst="rect">
          <a:avLst/>
        </a:prstGeom>
        <a:solidFill>
          <a:sysClr val="window" lastClr="FFFFFF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光熱費の記載は任意です。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ご入力いただくと、光熱費等が計算されます。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参考としてご覧ください。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812800" y="2654300"/>
          <a:ext cx="2946400" cy="1143000"/>
        </a:xfrm>
        <a:prstGeom prst="rect">
          <a:avLst/>
        </a:prstGeom>
        <a:solidFill>
          <a:sysClr val="window" lastClr="FFFFFF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エネルギー使用量は記入必須です。直近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年間の使用量を記載してください。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設備で使用している種類のエネルギーは全て記載してください。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152400</xdr:colOff>
      <xdr:row>32</xdr:row>
      <xdr:rowOff>22324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228600"/>
          <a:ext cx="10058400" cy="7108924"/>
        </a:xfrm>
        <a:prstGeom prst="rect">
          <a:avLst/>
        </a:prstGeom>
      </xdr:spPr>
    </xdr:pic>
    <xdr:clientData/>
  </xdr:twoCellAnchor>
  <xdr:twoCellAnchor>
    <xdr:from>
      <xdr:col>10</xdr:col>
      <xdr:colOff>165100</xdr:colOff>
      <xdr:row>10</xdr:row>
      <xdr:rowOff>57150</xdr:rowOff>
    </xdr:from>
    <xdr:to>
      <xdr:col>14</xdr:col>
      <xdr:colOff>247650</xdr:colOff>
      <xdr:row>11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6769100" y="2343150"/>
          <a:ext cx="27241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●空調（</a:t>
          </a:r>
          <a:r>
            <a:rPr kumimoji="1" lang="en-US" altLang="ja-JP" sz="1100">
              <a:solidFill>
                <a:srgbClr val="FF0000"/>
              </a:solidFill>
            </a:rPr>
            <a:t>EHP</a:t>
          </a:r>
          <a:r>
            <a:rPr kumimoji="1" lang="ja-JP" altLang="en-US" sz="1100">
              <a:solidFill>
                <a:srgbClr val="FF0000"/>
              </a:solidFill>
            </a:rPr>
            <a:t>）関連の劣化率の参考元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11</xdr:col>
      <xdr:colOff>235857</xdr:colOff>
      <xdr:row>76</xdr:row>
      <xdr:rowOff>155739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214" y="7483929"/>
          <a:ext cx="6858000" cy="9907524"/>
        </a:xfrm>
        <a:prstGeom prst="rect">
          <a:avLst/>
        </a:prstGeom>
      </xdr:spPr>
    </xdr:pic>
    <xdr:clientData/>
  </xdr:twoCellAnchor>
  <xdr:twoCellAnchor>
    <xdr:from>
      <xdr:col>6</xdr:col>
      <xdr:colOff>209176</xdr:colOff>
      <xdr:row>50</xdr:row>
      <xdr:rowOff>14941</xdr:rowOff>
    </xdr:from>
    <xdr:to>
      <xdr:col>10</xdr:col>
      <xdr:colOff>291726</xdr:colOff>
      <xdr:row>51</xdr:row>
      <xdr:rowOff>129242</xdr:rowOff>
    </xdr:to>
    <xdr:sp macro="" textlink="">
      <xdr:nvSpPr>
        <xdr:cNvPr id="5" name="テキスト ボックス 4"/>
        <xdr:cNvSpPr txBox="1"/>
      </xdr:nvSpPr>
      <xdr:spPr>
        <a:xfrm>
          <a:off x="4153647" y="11594353"/>
          <a:ext cx="2712197" cy="345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●空調（</a:t>
          </a:r>
          <a:r>
            <a:rPr kumimoji="1" lang="en-US" altLang="ja-JP" sz="1100">
              <a:solidFill>
                <a:srgbClr val="FF0000"/>
              </a:solidFill>
            </a:rPr>
            <a:t>GHP</a:t>
          </a:r>
          <a:r>
            <a:rPr kumimoji="1" lang="ja-JP" altLang="en-US" sz="1100">
              <a:solidFill>
                <a:srgbClr val="FF0000"/>
              </a:solidFill>
            </a:rPr>
            <a:t>）の</a:t>
          </a:r>
          <a:r>
            <a:rPr kumimoji="1" lang="en-US" altLang="ja-JP" sz="1100">
              <a:solidFill>
                <a:srgbClr val="FF0000"/>
              </a:solidFill>
            </a:rPr>
            <a:t>COP</a:t>
          </a:r>
          <a:r>
            <a:rPr kumimoji="1" lang="ja-JP" altLang="en-US" sz="1100">
              <a:solidFill>
                <a:srgbClr val="FF0000"/>
              </a:solidFill>
            </a:rPr>
            <a:t>参考元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119</xdr:row>
      <xdr:rowOff>0</xdr:rowOff>
    </xdr:from>
    <xdr:to>
      <xdr:col>16</xdr:col>
      <xdr:colOff>152400</xdr:colOff>
      <xdr:row>150</xdr:row>
      <xdr:rowOff>26094</xdr:rowOff>
    </xdr:to>
    <xdr:grpSp>
      <xdr:nvGrpSpPr>
        <xdr:cNvPr id="10" name="グループ化 9"/>
        <xdr:cNvGrpSpPr/>
      </xdr:nvGrpSpPr>
      <xdr:grpSpPr>
        <a:xfrm>
          <a:off x="660400" y="27203400"/>
          <a:ext cx="10058400" cy="7112694"/>
          <a:chOff x="662214" y="26987500"/>
          <a:chExt cx="10085615" cy="7056451"/>
        </a:xfrm>
      </xdr:grpSpPr>
      <xdr:pic>
        <xdr:nvPicPr>
          <xdr:cNvPr id="6" name="図 5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214" y="26987500"/>
            <a:ext cx="10085615" cy="7056451"/>
          </a:xfrm>
          <a:prstGeom prst="rect">
            <a:avLst/>
          </a:prstGeom>
        </xdr:spPr>
      </xdr:pic>
      <xdr:sp macro="" textlink="">
        <xdr:nvSpPr>
          <xdr:cNvPr id="7" name="テキスト ボックス 6"/>
          <xdr:cNvSpPr txBox="1"/>
        </xdr:nvSpPr>
        <xdr:spPr>
          <a:xfrm>
            <a:off x="7769678" y="27689628"/>
            <a:ext cx="1533979" cy="3029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●日本</a:t>
            </a:r>
            <a:r>
              <a:rPr kumimoji="1" lang="en-US" altLang="ja-JP" sz="1100">
                <a:solidFill>
                  <a:srgbClr val="FF0000"/>
                </a:solidFill>
              </a:rPr>
              <a:t>LP</a:t>
            </a:r>
            <a:r>
              <a:rPr kumimoji="1" lang="ja-JP" altLang="en-US" sz="1100">
                <a:solidFill>
                  <a:srgbClr val="FF0000"/>
                </a:solidFill>
              </a:rPr>
              <a:t>ガス協会</a:t>
            </a:r>
            <a:endParaRPr kumimoji="1" lang="en-US" altLang="ja-JP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</xdr:col>
      <xdr:colOff>0</xdr:colOff>
      <xdr:row>78</xdr:row>
      <xdr:rowOff>0</xdr:rowOff>
    </xdr:from>
    <xdr:to>
      <xdr:col>9</xdr:col>
      <xdr:colOff>626359</xdr:colOff>
      <xdr:row>117</xdr:row>
      <xdr:rowOff>226648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214" y="17689286"/>
          <a:ext cx="5924074" cy="9071291"/>
        </a:xfrm>
        <a:prstGeom prst="rect">
          <a:avLst/>
        </a:prstGeom>
      </xdr:spPr>
    </xdr:pic>
    <xdr:clientData/>
  </xdr:twoCellAnchor>
  <xdr:twoCellAnchor editAs="oneCell">
    <xdr:from>
      <xdr:col>11</xdr:col>
      <xdr:colOff>23341</xdr:colOff>
      <xdr:row>78</xdr:row>
      <xdr:rowOff>0</xdr:rowOff>
    </xdr:from>
    <xdr:to>
      <xdr:col>20</xdr:col>
      <xdr:colOff>0</xdr:colOff>
      <xdr:row>117</xdr:row>
      <xdr:rowOff>118870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07698" y="17689286"/>
          <a:ext cx="5936588" cy="8963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279400" y="2673350"/>
          <a:ext cx="6394450" cy="9652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を参考に設備更新による削減量を算定してください。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↓ハイパーリンク（クリックで記入例へ移動します。）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769469</xdr:colOff>
      <xdr:row>7</xdr:row>
      <xdr:rowOff>0</xdr:rowOff>
    </xdr:from>
    <xdr:to>
      <xdr:col>19</xdr:col>
      <xdr:colOff>769469</xdr:colOff>
      <xdr:row>8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7448175" y="2017059"/>
          <a:ext cx="8113059" cy="2540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エネルギーの削減に繋がらないため、数量の増加は原則認められません。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771069</xdr:colOff>
      <xdr:row>12</xdr:row>
      <xdr:rowOff>2</xdr:rowOff>
    </xdr:from>
    <xdr:to>
      <xdr:col>13</xdr:col>
      <xdr:colOff>1188354</xdr:colOff>
      <xdr:row>15</xdr:row>
      <xdr:rowOff>3</xdr:rowOff>
    </xdr:to>
    <xdr:grpSp>
      <xdr:nvGrpSpPr>
        <xdr:cNvPr id="4" name="グループ化 3"/>
        <xdr:cNvGrpSpPr/>
      </xdr:nvGrpSpPr>
      <xdr:grpSpPr>
        <a:xfrm>
          <a:off x="7444919" y="3409952"/>
          <a:ext cx="3490685" cy="685801"/>
          <a:chOff x="7808257" y="2518206"/>
          <a:chExt cx="2783012" cy="628408"/>
        </a:xfrm>
      </xdr:grpSpPr>
      <xdr:grpSp>
        <xdr:nvGrpSpPr>
          <xdr:cNvPr id="3" name="グループ化 2"/>
          <xdr:cNvGrpSpPr/>
        </xdr:nvGrpSpPr>
        <xdr:grpSpPr>
          <a:xfrm>
            <a:off x="7808257" y="2518206"/>
            <a:ext cx="2783012" cy="628408"/>
            <a:chOff x="17123227" y="2975963"/>
            <a:chExt cx="2793020" cy="616323"/>
          </a:xfrm>
        </xdr:grpSpPr>
        <xdr:sp macro="" textlink="">
          <xdr:nvSpPr>
            <xdr:cNvPr id="15" name="テキスト ボックス 14"/>
            <xdr:cNvSpPr txBox="1"/>
          </xdr:nvSpPr>
          <xdr:spPr>
            <a:xfrm>
              <a:off x="17123227" y="2975963"/>
              <a:ext cx="2793020" cy="61632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●凡例</a:t>
              </a: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17351828" y="3251553"/>
              <a:ext cx="772886" cy="286305"/>
            </a:xfrm>
            <a:prstGeom prst="rect">
              <a:avLst/>
            </a:prstGeom>
            <a:solidFill>
              <a:srgbClr val="FFF2CC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入力セル</a:t>
              </a:r>
            </a:p>
          </xdr:txBody>
        </xdr:sp>
        <xdr:sp macro="" textlink="">
          <xdr:nvSpPr>
            <xdr:cNvPr id="2" name="テキスト ボックス 1"/>
            <xdr:cNvSpPr txBox="1"/>
          </xdr:nvSpPr>
          <xdr:spPr>
            <a:xfrm>
              <a:off x="18196139" y="3251552"/>
              <a:ext cx="772886" cy="286306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選択セル</a:t>
              </a:r>
            </a:p>
          </xdr:txBody>
        </xdr:sp>
      </xdr:grpSp>
      <xdr:sp macro="" textlink="">
        <xdr:nvSpPr>
          <xdr:cNvPr id="16" name="テキスト ボックス 15"/>
          <xdr:cNvSpPr txBox="1"/>
        </xdr:nvSpPr>
        <xdr:spPr>
          <a:xfrm>
            <a:off x="9717741" y="2804307"/>
            <a:ext cx="770117" cy="28937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入力不可</a:t>
            </a:r>
          </a:p>
        </xdr:txBody>
      </xdr:sp>
    </xdr:grpSp>
    <xdr:clientData/>
  </xdr:twoCellAnchor>
  <xdr:twoCellAnchor>
    <xdr:from>
      <xdr:col>18</xdr:col>
      <xdr:colOff>771069</xdr:colOff>
      <xdr:row>12</xdr:row>
      <xdr:rowOff>0</xdr:rowOff>
    </xdr:from>
    <xdr:to>
      <xdr:col>24</xdr:col>
      <xdr:colOff>771070</xdr:colOff>
      <xdr:row>15</xdr:row>
      <xdr:rowOff>0</xdr:rowOff>
    </xdr:to>
    <xdr:grpSp>
      <xdr:nvGrpSpPr>
        <xdr:cNvPr id="18" name="グループ化 17"/>
        <xdr:cNvGrpSpPr/>
      </xdr:nvGrpSpPr>
      <xdr:grpSpPr>
        <a:xfrm>
          <a:off x="14779169" y="3409950"/>
          <a:ext cx="4610101" cy="685800"/>
          <a:chOff x="17220706" y="1961727"/>
          <a:chExt cx="4257233" cy="697805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17220706" y="1961727"/>
            <a:ext cx="2128614" cy="23260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年間使用時間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(b=tdr1)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7220706" y="2194328"/>
            <a:ext cx="2128617" cy="232602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(E=anb÷1000)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19349323" y="2194329"/>
            <a:ext cx="2128614" cy="232602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(E'=a'n'b'÷1000)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7220706" y="2426930"/>
            <a:ext cx="2128615" cy="232602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(C=E×0.000431)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9349322" y="2426930"/>
            <a:ext cx="2128617" cy="23260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(C'=E'×0.000431)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19349322" y="1961727"/>
            <a:ext cx="2128617" cy="23260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年間使用時間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(b'=b)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0</xdr:colOff>
      <xdr:row>528</xdr:row>
      <xdr:rowOff>0</xdr:rowOff>
    </xdr:from>
    <xdr:to>
      <xdr:col>3</xdr:col>
      <xdr:colOff>0</xdr:colOff>
      <xdr:row>536</xdr:row>
      <xdr:rowOff>4801</xdr:rowOff>
    </xdr:to>
    <xdr:sp macro="" textlink="">
      <xdr:nvSpPr>
        <xdr:cNvPr id="28" name="角丸四角形 27"/>
        <xdr:cNvSpPr/>
      </xdr:nvSpPr>
      <xdr:spPr>
        <a:xfrm>
          <a:off x="879929" y="120931214"/>
          <a:ext cx="1188357" cy="2218230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537</xdr:row>
      <xdr:rowOff>231586</xdr:rowOff>
    </xdr:from>
    <xdr:to>
      <xdr:col>3</xdr:col>
      <xdr:colOff>276412</xdr:colOff>
      <xdr:row>549</xdr:row>
      <xdr:rowOff>0</xdr:rowOff>
    </xdr:to>
    <xdr:sp macro="" textlink="">
      <xdr:nvSpPr>
        <xdr:cNvPr id="29" name="角丸四角形 28"/>
        <xdr:cNvSpPr/>
      </xdr:nvSpPr>
      <xdr:spPr>
        <a:xfrm flipH="1">
          <a:off x="276412" y="126566704"/>
          <a:ext cx="2061882" cy="2547472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■望ましい記載：</a:t>
          </a:r>
          <a:r>
            <a:rPr kumimoji="1" lang="ja-JP" altLang="en-US" sz="1100" b="1">
              <a:solidFill>
                <a:sysClr val="windowText" lastClr="000000"/>
              </a:solidFill>
            </a:rPr>
            <a:t>型番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●型番が不明な場合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100" b="1">
              <a:solidFill>
                <a:sysClr val="windowText" lastClr="000000"/>
              </a:solidFill>
            </a:rPr>
            <a:t>規格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ja-JP" altLang="en-US" sz="1100" b="1">
              <a:solidFill>
                <a:sysClr val="windowText" lastClr="000000"/>
              </a:solidFill>
            </a:rPr>
            <a:t>灯数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 b="1">
              <a:solidFill>
                <a:sysClr val="windowText" lastClr="000000"/>
              </a:solidFill>
            </a:rPr>
            <a:t>W</a:t>
          </a:r>
          <a:r>
            <a:rPr kumimoji="1" lang="ja-JP" altLang="en-US" sz="1100">
              <a:solidFill>
                <a:sysClr val="windowText" lastClr="000000"/>
              </a:solidFill>
            </a:rPr>
            <a:t>など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・どういった規格の設備か分かるように記載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灯数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や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が異なるものは判別できるように記載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433028</xdr:colOff>
      <xdr:row>536</xdr:row>
      <xdr:rowOff>4800</xdr:rowOff>
    </xdr:from>
    <xdr:to>
      <xdr:col>2</xdr:col>
      <xdr:colOff>594180</xdr:colOff>
      <xdr:row>538</xdr:row>
      <xdr:rowOff>4800</xdr:rowOff>
    </xdr:to>
    <xdr:cxnSp macro="">
      <xdr:nvCxnSpPr>
        <xdr:cNvPr id="30" name="カギ線コネクタ 29"/>
        <xdr:cNvCxnSpPr>
          <a:stCxn id="28" idx="2"/>
          <a:endCxn id="29" idx="0"/>
        </xdr:cNvCxnSpPr>
      </xdr:nvCxnSpPr>
      <xdr:spPr>
        <a:xfrm rot="5400000">
          <a:off x="1166747" y="123295653"/>
          <a:ext cx="453571" cy="161152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531</xdr:row>
      <xdr:rowOff>0</xdr:rowOff>
    </xdr:from>
    <xdr:to>
      <xdr:col>5</xdr:col>
      <xdr:colOff>0</xdr:colOff>
      <xdr:row>536</xdr:row>
      <xdr:rowOff>0</xdr:rowOff>
    </xdr:to>
    <xdr:sp macro="" textlink="">
      <xdr:nvSpPr>
        <xdr:cNvPr id="31" name="角丸四角形 30"/>
        <xdr:cNvSpPr/>
      </xdr:nvSpPr>
      <xdr:spPr>
        <a:xfrm>
          <a:off x="2831353" y="124893294"/>
          <a:ext cx="769471" cy="1157941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507998</xdr:colOff>
      <xdr:row>538</xdr:row>
      <xdr:rowOff>0</xdr:rowOff>
    </xdr:from>
    <xdr:to>
      <xdr:col>7</xdr:col>
      <xdr:colOff>463179</xdr:colOff>
      <xdr:row>551</xdr:row>
      <xdr:rowOff>0</xdr:rowOff>
    </xdr:to>
    <xdr:sp macro="" textlink="">
      <xdr:nvSpPr>
        <xdr:cNvPr id="32" name="角丸四角形 31"/>
        <xdr:cNvSpPr/>
      </xdr:nvSpPr>
      <xdr:spPr>
        <a:xfrm flipH="1">
          <a:off x="2569880" y="126073647"/>
          <a:ext cx="3033064" cy="3010647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■消費電力：</a:t>
          </a:r>
          <a:r>
            <a:rPr kumimoji="1" lang="ja-JP" altLang="en-US" sz="1100" b="1">
              <a:solidFill>
                <a:sysClr val="windowText" lastClr="000000"/>
              </a:solidFill>
            </a:rPr>
            <a:t>仕様書に基づいた消費電力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●仕様書等がない場合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省エネ診断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で確認が取れた消費電力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・光源（蛍光管等）に載っている消費電力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・省エネルギー法等を順守した資料に基づく消費電力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・根拠に基づいた消費電力を記載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根拠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資料は提出が必要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1180032</xdr:colOff>
      <xdr:row>553</xdr:row>
      <xdr:rowOff>0</xdr:rowOff>
    </xdr:from>
    <xdr:to>
      <xdr:col>8</xdr:col>
      <xdr:colOff>0</xdr:colOff>
      <xdr:row>557</xdr:row>
      <xdr:rowOff>0</xdr:rowOff>
    </xdr:to>
    <xdr:sp macro="" textlink="">
      <xdr:nvSpPr>
        <xdr:cNvPr id="33" name="角丸四角形 32"/>
        <xdr:cNvSpPr/>
      </xdr:nvSpPr>
      <xdr:spPr>
        <a:xfrm flipH="1">
          <a:off x="2056332" y="127857250"/>
          <a:ext cx="3849168" cy="9144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提出書類（必須）：更新前設備の「仕様書、カタログ」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531</xdr:row>
      <xdr:rowOff>0</xdr:rowOff>
    </xdr:from>
    <xdr:to>
      <xdr:col>16</xdr:col>
      <xdr:colOff>0</xdr:colOff>
      <xdr:row>536</xdr:row>
      <xdr:rowOff>0</xdr:rowOff>
    </xdr:to>
    <xdr:sp macro="" textlink="">
      <xdr:nvSpPr>
        <xdr:cNvPr id="40" name="角丸四角形 39"/>
        <xdr:cNvSpPr/>
      </xdr:nvSpPr>
      <xdr:spPr>
        <a:xfrm>
          <a:off x="12916647" y="124893294"/>
          <a:ext cx="769471" cy="1157941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559358</xdr:colOff>
      <xdr:row>536</xdr:row>
      <xdr:rowOff>1</xdr:rowOff>
    </xdr:from>
    <xdr:to>
      <xdr:col>15</xdr:col>
      <xdr:colOff>384175</xdr:colOff>
      <xdr:row>538</xdr:row>
      <xdr:rowOff>1</xdr:rowOff>
    </xdr:to>
    <xdr:cxnSp macro="">
      <xdr:nvCxnSpPr>
        <xdr:cNvPr id="41" name="カギ線コネクタ 40"/>
        <xdr:cNvCxnSpPr>
          <a:stCxn id="40" idx="2"/>
          <a:endCxn id="56" idx="0"/>
        </xdr:cNvCxnSpPr>
      </xdr:nvCxnSpPr>
      <xdr:spPr>
        <a:xfrm rot="5400000">
          <a:off x="11562042" y="123903067"/>
          <a:ext cx="457200" cy="593167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1118</xdr:colOff>
      <xdr:row>542</xdr:row>
      <xdr:rowOff>216646</xdr:rowOff>
    </xdr:from>
    <xdr:to>
      <xdr:col>17</xdr:col>
      <xdr:colOff>317499</xdr:colOff>
      <xdr:row>545</xdr:row>
      <xdr:rowOff>216646</xdr:rowOff>
    </xdr:to>
    <xdr:sp macro="" textlink="">
      <xdr:nvSpPr>
        <xdr:cNvPr id="48" name="角丸四角形 47"/>
        <xdr:cNvSpPr/>
      </xdr:nvSpPr>
      <xdr:spPr>
        <a:xfrm flipH="1">
          <a:off x="9748368" y="125559296"/>
          <a:ext cx="3808881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提出書類（必須）：更新後設備の「仕様書、カタログ」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531</xdr:row>
      <xdr:rowOff>0</xdr:rowOff>
    </xdr:from>
    <xdr:to>
      <xdr:col>14</xdr:col>
      <xdr:colOff>0</xdr:colOff>
      <xdr:row>536</xdr:row>
      <xdr:rowOff>0</xdr:rowOff>
    </xdr:to>
    <xdr:sp macro="" textlink="">
      <xdr:nvSpPr>
        <xdr:cNvPr id="52" name="角丸四角形 51"/>
        <xdr:cNvSpPr/>
      </xdr:nvSpPr>
      <xdr:spPr>
        <a:xfrm>
          <a:off x="10959353" y="124893294"/>
          <a:ext cx="1187823" cy="1157941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593724</xdr:colOff>
      <xdr:row>536</xdr:row>
      <xdr:rowOff>0</xdr:rowOff>
    </xdr:from>
    <xdr:to>
      <xdr:col>14</xdr:col>
      <xdr:colOff>559357</xdr:colOff>
      <xdr:row>538</xdr:row>
      <xdr:rowOff>0</xdr:rowOff>
    </xdr:to>
    <xdr:cxnSp macro="">
      <xdr:nvCxnSpPr>
        <xdr:cNvPr id="53" name="カギ線コネクタ 52"/>
        <xdr:cNvCxnSpPr>
          <a:stCxn id="52" idx="2"/>
          <a:endCxn id="56" idx="0"/>
        </xdr:cNvCxnSpPr>
      </xdr:nvCxnSpPr>
      <xdr:spPr>
        <a:xfrm rot="16200000" flipH="1">
          <a:off x="10688916" y="123623108"/>
          <a:ext cx="457200" cy="1153083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1118</xdr:colOff>
      <xdr:row>538</xdr:row>
      <xdr:rowOff>0</xdr:rowOff>
    </xdr:from>
    <xdr:to>
      <xdr:col>16</xdr:col>
      <xdr:colOff>768349</xdr:colOff>
      <xdr:row>541</xdr:row>
      <xdr:rowOff>0</xdr:rowOff>
    </xdr:to>
    <xdr:sp macro="" textlink="">
      <xdr:nvSpPr>
        <xdr:cNvPr id="56" name="角丸四角形 55"/>
        <xdr:cNvSpPr/>
      </xdr:nvSpPr>
      <xdr:spPr>
        <a:xfrm flipH="1">
          <a:off x="9748368" y="124428250"/>
          <a:ext cx="3491381" cy="6858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■型番、消費電力：仕様書等に基づいた型番・値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559358</xdr:colOff>
      <xdr:row>541</xdr:row>
      <xdr:rowOff>0</xdr:rowOff>
    </xdr:from>
    <xdr:to>
      <xdr:col>14</xdr:col>
      <xdr:colOff>718108</xdr:colOff>
      <xdr:row>542</xdr:row>
      <xdr:rowOff>216646</xdr:rowOff>
    </xdr:to>
    <xdr:cxnSp macro="">
      <xdr:nvCxnSpPr>
        <xdr:cNvPr id="65" name="カギ線コネクタ 64"/>
        <xdr:cNvCxnSpPr>
          <a:stCxn id="56" idx="2"/>
          <a:endCxn id="48" idx="0"/>
        </xdr:cNvCxnSpPr>
      </xdr:nvCxnSpPr>
      <xdr:spPr>
        <a:xfrm rot="16200000" flipH="1">
          <a:off x="11350810" y="125257298"/>
          <a:ext cx="445246" cy="158750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380466</xdr:colOff>
      <xdr:row>551</xdr:row>
      <xdr:rowOff>0</xdr:rowOff>
    </xdr:from>
    <xdr:to>
      <xdr:col>5</xdr:col>
      <xdr:colOff>485588</xdr:colOff>
      <xdr:row>553</xdr:row>
      <xdr:rowOff>0</xdr:rowOff>
    </xdr:to>
    <xdr:cxnSp macro="">
      <xdr:nvCxnSpPr>
        <xdr:cNvPr id="67" name="カギ線コネクタ 66"/>
        <xdr:cNvCxnSpPr>
          <a:stCxn id="32" idx="2"/>
          <a:endCxn id="33" idx="0"/>
        </xdr:cNvCxnSpPr>
      </xdr:nvCxnSpPr>
      <xdr:spPr>
        <a:xfrm rot="5400000">
          <a:off x="3804877" y="127576089"/>
          <a:ext cx="457200" cy="105122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528</xdr:row>
      <xdr:rowOff>1</xdr:rowOff>
    </xdr:from>
    <xdr:to>
      <xdr:col>7</xdr:col>
      <xdr:colOff>0</xdr:colOff>
      <xdr:row>530</xdr:row>
      <xdr:rowOff>1</xdr:rowOff>
    </xdr:to>
    <xdr:sp macro="" textlink="">
      <xdr:nvSpPr>
        <xdr:cNvPr id="71" name="角丸四角形 70"/>
        <xdr:cNvSpPr/>
      </xdr:nvSpPr>
      <xdr:spPr>
        <a:xfrm>
          <a:off x="3600824" y="123854883"/>
          <a:ext cx="1538941" cy="859118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373529</xdr:colOff>
      <xdr:row>520</xdr:row>
      <xdr:rowOff>358589</xdr:rowOff>
    </xdr:from>
    <xdr:to>
      <xdr:col>13</xdr:col>
      <xdr:colOff>791883</xdr:colOff>
      <xdr:row>526</xdr:row>
      <xdr:rowOff>179295</xdr:rowOff>
    </xdr:to>
    <xdr:sp macro="" textlink="">
      <xdr:nvSpPr>
        <xdr:cNvPr id="72" name="テキスト ボックス 71"/>
        <xdr:cNvSpPr txBox="1"/>
      </xdr:nvSpPr>
      <xdr:spPr>
        <a:xfrm>
          <a:off x="7052235" y="120971236"/>
          <a:ext cx="3496236" cy="134470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使用時間の確認</a:t>
          </a:r>
          <a:endParaRPr kumimoji="1" lang="en-US" altLang="ja-JP" sz="1100" b="1"/>
        </a:p>
        <a:p>
          <a:r>
            <a:rPr kumimoji="1" lang="ja-JP" altLang="en-US" sz="1100"/>
            <a:t>必要に応じて、使用時間の</a:t>
          </a:r>
          <a:r>
            <a:rPr kumimoji="1" lang="ja-JP" altLang="en-US" sz="1100" b="1"/>
            <a:t>根拠資料の提出</a:t>
          </a:r>
          <a:r>
            <a:rPr kumimoji="1" lang="ja-JP" altLang="en-US" sz="1100"/>
            <a:t>をお願いする場合や、</a:t>
          </a:r>
          <a:r>
            <a:rPr kumimoji="1" lang="ja-JP" altLang="en-US" sz="1100" b="1"/>
            <a:t>ヒアリング</a:t>
          </a:r>
          <a:r>
            <a:rPr kumimoji="1" lang="ja-JP" altLang="en-US" sz="1100" b="0"/>
            <a:t>、</a:t>
          </a:r>
          <a:r>
            <a:rPr kumimoji="1" lang="ja-JP" altLang="en-US" sz="1100" b="1"/>
            <a:t>現地調査</a:t>
          </a:r>
          <a:r>
            <a:rPr kumimoji="1" lang="ja-JP" altLang="en-US" sz="1100"/>
            <a:t>を実施することがあります。</a:t>
          </a:r>
          <a:endParaRPr kumimoji="1" lang="en-US" altLang="ja-JP" sz="1100"/>
        </a:p>
        <a:p>
          <a:r>
            <a:rPr kumimoji="1" lang="ja-JP" altLang="en-US" sz="1100"/>
            <a:t>あらかじめご了承ください。</a:t>
          </a:r>
        </a:p>
      </xdr:txBody>
    </xdr:sp>
    <xdr:clientData/>
  </xdr:twoCellAnchor>
  <xdr:twoCellAnchor>
    <xdr:from>
      <xdr:col>8</xdr:col>
      <xdr:colOff>605118</xdr:colOff>
      <xdr:row>523</xdr:row>
      <xdr:rowOff>201707</xdr:rowOff>
    </xdr:from>
    <xdr:to>
      <xdr:col>9</xdr:col>
      <xdr:colOff>373529</xdr:colOff>
      <xdr:row>524</xdr:row>
      <xdr:rowOff>26147</xdr:rowOff>
    </xdr:to>
    <xdr:cxnSp macro="">
      <xdr:nvCxnSpPr>
        <xdr:cNvPr id="73" name="カギ線コネクタ 72"/>
        <xdr:cNvCxnSpPr>
          <a:stCxn id="122" idx="1"/>
          <a:endCxn id="72" idx="1"/>
        </xdr:cNvCxnSpPr>
      </xdr:nvCxnSpPr>
      <xdr:spPr>
        <a:xfrm flipV="1">
          <a:off x="6514353" y="121643589"/>
          <a:ext cx="537882" cy="56029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531</xdr:row>
      <xdr:rowOff>0</xdr:rowOff>
    </xdr:from>
    <xdr:to>
      <xdr:col>9</xdr:col>
      <xdr:colOff>0</xdr:colOff>
      <xdr:row>536</xdr:row>
      <xdr:rowOff>0</xdr:rowOff>
    </xdr:to>
    <xdr:sp macro="" textlink="">
      <xdr:nvSpPr>
        <xdr:cNvPr id="82" name="角丸四角形 81"/>
        <xdr:cNvSpPr/>
      </xdr:nvSpPr>
      <xdr:spPr>
        <a:xfrm>
          <a:off x="5139765" y="124945588"/>
          <a:ext cx="1538941" cy="1157941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538</xdr:row>
      <xdr:rowOff>0</xdr:rowOff>
    </xdr:from>
    <xdr:to>
      <xdr:col>12</xdr:col>
      <xdr:colOff>552448</xdr:colOff>
      <xdr:row>554</xdr:row>
      <xdr:rowOff>0</xdr:rowOff>
    </xdr:to>
    <xdr:sp macro="" textlink="">
      <xdr:nvSpPr>
        <xdr:cNvPr id="83" name="角丸四角形 82"/>
        <xdr:cNvSpPr/>
      </xdr:nvSpPr>
      <xdr:spPr>
        <a:xfrm flipH="1">
          <a:off x="5905500" y="124428250"/>
          <a:ext cx="3625848" cy="36576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■人感センサ有無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・ある場合は緑色セルの列で「○」を選択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・点灯率の列のセル色が変わる（記入色）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■人感センサ点灯率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・「日使用時間」に対してのセンサーによる点灯率をパーセントで記載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●人感センサ点灯率の例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・倉庫を１日２時間使用、センサー点灯率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→日使用時間へ「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」、人感センサ有無に「○」、点灯率へ「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」と入力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★注意点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運用対策等は含みません。（例：昼休み中に職員が消灯して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点灯率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384735</xdr:colOff>
      <xdr:row>536</xdr:row>
      <xdr:rowOff>0</xdr:rowOff>
    </xdr:from>
    <xdr:to>
      <xdr:col>5</xdr:col>
      <xdr:colOff>485587</xdr:colOff>
      <xdr:row>538</xdr:row>
      <xdr:rowOff>0</xdr:rowOff>
    </xdr:to>
    <xdr:cxnSp macro="">
      <xdr:nvCxnSpPr>
        <xdr:cNvPr id="86" name="カギ線コネクタ 85"/>
        <xdr:cNvCxnSpPr>
          <a:stCxn id="31" idx="2"/>
          <a:endCxn id="32" idx="0"/>
        </xdr:cNvCxnSpPr>
      </xdr:nvCxnSpPr>
      <xdr:spPr>
        <a:xfrm rot="16200000" flipH="1">
          <a:off x="3419662" y="125406897"/>
          <a:ext cx="463176" cy="870323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536</xdr:row>
      <xdr:rowOff>0</xdr:rowOff>
    </xdr:from>
    <xdr:to>
      <xdr:col>10</xdr:col>
      <xdr:colOff>276224</xdr:colOff>
      <xdr:row>538</xdr:row>
      <xdr:rowOff>0</xdr:rowOff>
    </xdr:to>
    <xdr:cxnSp macro="">
      <xdr:nvCxnSpPr>
        <xdr:cNvPr id="92" name="カギ線コネクタ 91"/>
        <xdr:cNvCxnSpPr>
          <a:stCxn id="82" idx="2"/>
          <a:endCxn id="83" idx="0"/>
        </xdr:cNvCxnSpPr>
      </xdr:nvCxnSpPr>
      <xdr:spPr>
        <a:xfrm rot="16200000" flipH="1">
          <a:off x="6583362" y="123293188"/>
          <a:ext cx="457200" cy="1812924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522</xdr:row>
      <xdr:rowOff>179294</xdr:rowOff>
    </xdr:from>
    <xdr:to>
      <xdr:col>8</xdr:col>
      <xdr:colOff>605118</xdr:colOff>
      <xdr:row>525</xdr:row>
      <xdr:rowOff>104588</xdr:rowOff>
    </xdr:to>
    <xdr:sp macro="" textlink="">
      <xdr:nvSpPr>
        <xdr:cNvPr id="122" name="角丸四角形 121"/>
        <xdr:cNvSpPr/>
      </xdr:nvSpPr>
      <xdr:spPr>
        <a:xfrm flipH="1">
          <a:off x="2831353" y="121255118"/>
          <a:ext cx="3683000" cy="620058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■必要な記載：</a:t>
          </a:r>
          <a:r>
            <a:rPr kumimoji="1" lang="ja-JP" altLang="en-US" sz="1100" b="1">
              <a:solidFill>
                <a:sysClr val="windowText" lastClr="000000"/>
              </a:solidFill>
            </a:rPr>
            <a:t>業務実態に基づいた使用時間・日数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</xdr:colOff>
      <xdr:row>525</xdr:row>
      <xdr:rowOff>104588</xdr:rowOff>
    </xdr:from>
    <xdr:to>
      <xdr:col>6</xdr:col>
      <xdr:colOff>302559</xdr:colOff>
      <xdr:row>528</xdr:row>
      <xdr:rowOff>1</xdr:rowOff>
    </xdr:to>
    <xdr:cxnSp macro="">
      <xdr:nvCxnSpPr>
        <xdr:cNvPr id="124" name="カギ線コネクタ 123"/>
        <xdr:cNvCxnSpPr>
          <a:stCxn id="122" idx="2"/>
          <a:endCxn id="71" idx="0"/>
        </xdr:cNvCxnSpPr>
      </xdr:nvCxnSpPr>
      <xdr:spPr>
        <a:xfrm rot="5400000">
          <a:off x="4226485" y="122018986"/>
          <a:ext cx="590178" cy="302558"/>
        </a:xfrm>
        <a:prstGeom prst="bentConnector3">
          <a:avLst>
            <a:gd name="adj1" fmla="val 50000"/>
          </a:avLst>
        </a:prstGeom>
        <a:ln w="285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528</xdr:row>
      <xdr:rowOff>1</xdr:rowOff>
    </xdr:from>
    <xdr:to>
      <xdr:col>15</xdr:col>
      <xdr:colOff>1</xdr:colOff>
      <xdr:row>530</xdr:row>
      <xdr:rowOff>1</xdr:rowOff>
    </xdr:to>
    <xdr:sp macro="" textlink="">
      <xdr:nvSpPr>
        <xdr:cNvPr id="139" name="角丸四角形 138"/>
        <xdr:cNvSpPr/>
      </xdr:nvSpPr>
      <xdr:spPr>
        <a:xfrm>
          <a:off x="10944413" y="123264707"/>
          <a:ext cx="769470" cy="859118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769467</xdr:colOff>
      <xdr:row>521</xdr:row>
      <xdr:rowOff>0</xdr:rowOff>
    </xdr:from>
    <xdr:to>
      <xdr:col>19</xdr:col>
      <xdr:colOff>672351</xdr:colOff>
      <xdr:row>526</xdr:row>
      <xdr:rowOff>82177</xdr:rowOff>
    </xdr:to>
    <xdr:sp macro="" textlink="">
      <xdr:nvSpPr>
        <xdr:cNvPr id="140" name="角丸四角形 139"/>
        <xdr:cNvSpPr/>
      </xdr:nvSpPr>
      <xdr:spPr>
        <a:xfrm flipH="1">
          <a:off x="11713879" y="120978706"/>
          <a:ext cx="3750237" cy="1240118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■要件：台数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の増加は原則認められませ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ん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（増加分は対象外）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・更新前より台数が増加する場合は、合計の欄が赤くなります。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384737</xdr:colOff>
      <xdr:row>523</xdr:row>
      <xdr:rowOff>156882</xdr:rowOff>
    </xdr:from>
    <xdr:to>
      <xdr:col>14</xdr:col>
      <xdr:colOff>769468</xdr:colOff>
      <xdr:row>528</xdr:row>
      <xdr:rowOff>1</xdr:rowOff>
    </xdr:to>
    <xdr:cxnSp macro="">
      <xdr:nvCxnSpPr>
        <xdr:cNvPr id="141" name="カギ線コネクタ 140"/>
        <xdr:cNvCxnSpPr>
          <a:stCxn id="140" idx="3"/>
          <a:endCxn id="139" idx="0"/>
        </xdr:cNvCxnSpPr>
      </xdr:nvCxnSpPr>
      <xdr:spPr>
        <a:xfrm rot="10800000" flipV="1">
          <a:off x="11329149" y="122263647"/>
          <a:ext cx="384731" cy="1001060"/>
        </a:xfrm>
        <a:prstGeom prst="bentConnector2">
          <a:avLst/>
        </a:prstGeom>
        <a:ln w="285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44823</xdr:colOff>
      <xdr:row>521</xdr:row>
      <xdr:rowOff>0</xdr:rowOff>
    </xdr:from>
    <xdr:to>
      <xdr:col>24</xdr:col>
      <xdr:colOff>769469</xdr:colOff>
      <xdr:row>525</xdr:row>
      <xdr:rowOff>156884</xdr:rowOff>
    </xdr:to>
    <xdr:sp macro="" textlink="">
      <xdr:nvSpPr>
        <xdr:cNvPr id="148" name="角丸四角形 147"/>
        <xdr:cNvSpPr/>
      </xdr:nvSpPr>
      <xdr:spPr>
        <a:xfrm flipH="1">
          <a:off x="15606058" y="120612647"/>
          <a:ext cx="3802529" cy="108323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■要件：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消費電力が増加する機種は対象外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・更新前より消費電力が増加する場合は、値がマイナスになり、文字が赤くなります。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0</xdr:colOff>
      <xdr:row>527</xdr:row>
      <xdr:rowOff>1</xdr:rowOff>
    </xdr:from>
    <xdr:to>
      <xdr:col>25</xdr:col>
      <xdr:colOff>0</xdr:colOff>
      <xdr:row>536</xdr:row>
      <xdr:rowOff>1</xdr:rowOff>
    </xdr:to>
    <xdr:sp macro="" textlink="">
      <xdr:nvSpPr>
        <xdr:cNvPr id="149" name="角丸四角形 148"/>
        <xdr:cNvSpPr/>
      </xdr:nvSpPr>
      <xdr:spPr>
        <a:xfrm>
          <a:off x="17081500" y="121513601"/>
          <a:ext cx="2305050" cy="2457450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407147</xdr:colOff>
      <xdr:row>525</xdr:row>
      <xdr:rowOff>156883</xdr:rowOff>
    </xdr:from>
    <xdr:to>
      <xdr:col>23</xdr:col>
      <xdr:colOff>384736</xdr:colOff>
      <xdr:row>527</xdr:row>
      <xdr:rowOff>0</xdr:rowOff>
    </xdr:to>
    <xdr:cxnSp macro="">
      <xdr:nvCxnSpPr>
        <xdr:cNvPr id="150" name="カギ線コネクタ 149"/>
        <xdr:cNvCxnSpPr>
          <a:stCxn id="148" idx="2"/>
          <a:endCxn id="149" idx="0"/>
        </xdr:cNvCxnSpPr>
      </xdr:nvCxnSpPr>
      <xdr:spPr>
        <a:xfrm rot="16200000" flipH="1">
          <a:off x="17727706" y="121475500"/>
          <a:ext cx="306293" cy="747060"/>
        </a:xfrm>
        <a:prstGeom prst="bentConnector3">
          <a:avLst>
            <a:gd name="adj1" fmla="val 50000"/>
          </a:avLst>
        </a:prstGeom>
        <a:ln w="285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531</xdr:row>
      <xdr:rowOff>0</xdr:rowOff>
    </xdr:from>
    <xdr:to>
      <xdr:col>18</xdr:col>
      <xdr:colOff>0</xdr:colOff>
      <xdr:row>536</xdr:row>
      <xdr:rowOff>0</xdr:rowOff>
    </xdr:to>
    <xdr:sp macro="" textlink="">
      <xdr:nvSpPr>
        <xdr:cNvPr id="59" name="角丸四角形 58"/>
        <xdr:cNvSpPr/>
      </xdr:nvSpPr>
      <xdr:spPr>
        <a:xfrm>
          <a:off x="12471400" y="122828050"/>
          <a:ext cx="1536700" cy="1143000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768349</xdr:colOff>
      <xdr:row>536</xdr:row>
      <xdr:rowOff>0</xdr:rowOff>
    </xdr:from>
    <xdr:to>
      <xdr:col>19</xdr:col>
      <xdr:colOff>384174</xdr:colOff>
      <xdr:row>538</xdr:row>
      <xdr:rowOff>0</xdr:rowOff>
    </xdr:to>
    <xdr:cxnSp macro="">
      <xdr:nvCxnSpPr>
        <xdr:cNvPr id="60" name="カギ線コネクタ 59"/>
        <xdr:cNvCxnSpPr>
          <a:stCxn id="59" idx="2"/>
          <a:endCxn id="66" idx="0"/>
        </xdr:cNvCxnSpPr>
      </xdr:nvCxnSpPr>
      <xdr:spPr>
        <a:xfrm rot="16200000" flipH="1">
          <a:off x="13971587" y="123239212"/>
          <a:ext cx="457200" cy="1920875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538</xdr:row>
      <xdr:rowOff>0</xdr:rowOff>
    </xdr:from>
    <xdr:to>
      <xdr:col>21</xdr:col>
      <xdr:colOff>0</xdr:colOff>
      <xdr:row>543</xdr:row>
      <xdr:rowOff>0</xdr:rowOff>
    </xdr:to>
    <xdr:sp macro="" textlink="">
      <xdr:nvSpPr>
        <xdr:cNvPr id="66" name="角丸四角形 65"/>
        <xdr:cNvSpPr/>
      </xdr:nvSpPr>
      <xdr:spPr>
        <a:xfrm flipH="1">
          <a:off x="14008100" y="124428250"/>
          <a:ext cx="2305050" cy="11430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★注意点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更新前にも人感センサーがある場合、点灯率は更新前と同じ値にしてください。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</xdr:colOff>
      <xdr:row>8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7890807" y="2076824"/>
          <a:ext cx="7692840" cy="23158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エネルギーの削減に繋がらない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ため、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定格能力の増加は原則認められません。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281213</xdr:colOff>
      <xdr:row>66</xdr:row>
      <xdr:rowOff>226784</xdr:rowOff>
    </xdr:from>
    <xdr:to>
      <xdr:col>3</xdr:col>
      <xdr:colOff>371929</xdr:colOff>
      <xdr:row>79</xdr:row>
      <xdr:rowOff>226785</xdr:rowOff>
    </xdr:to>
    <xdr:sp macro="" textlink="">
      <xdr:nvSpPr>
        <xdr:cNvPr id="10" name="角丸四角形 9"/>
        <xdr:cNvSpPr/>
      </xdr:nvSpPr>
      <xdr:spPr>
        <a:xfrm flipH="1">
          <a:off x="281213" y="16292284"/>
          <a:ext cx="2594430" cy="2948215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必要な記載：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100">
              <a:solidFill>
                <a:sysClr val="windowText" lastClr="000000"/>
              </a:solidFill>
            </a:rPr>
            <a:t>セット」又は「室外機」の型番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・空調の削減効果は「室外機」の効率により算定するため、セット又は室外機の型番の記載が必要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室内機は、消費エネルギーのうち占める割合が低いため、本算定では削減効果に加味しません。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65</xdr:row>
      <xdr:rowOff>0</xdr:rowOff>
    </xdr:to>
    <xdr:sp macro="" textlink="">
      <xdr:nvSpPr>
        <xdr:cNvPr id="11" name="角丸四角形 10"/>
        <xdr:cNvSpPr/>
      </xdr:nvSpPr>
      <xdr:spPr>
        <a:xfrm>
          <a:off x="979714" y="14704786"/>
          <a:ext cx="1524000" cy="1133928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598714</xdr:colOff>
      <xdr:row>65</xdr:row>
      <xdr:rowOff>0</xdr:rowOff>
    </xdr:from>
    <xdr:to>
      <xdr:col>2</xdr:col>
      <xdr:colOff>762000</xdr:colOff>
      <xdr:row>66</xdr:row>
      <xdr:rowOff>226784</xdr:rowOff>
    </xdr:to>
    <xdr:cxnSp macro="">
      <xdr:nvCxnSpPr>
        <xdr:cNvPr id="12" name="カギ線コネクタ 11"/>
        <xdr:cNvCxnSpPr>
          <a:stCxn id="11" idx="2"/>
          <a:endCxn id="10" idx="0"/>
        </xdr:cNvCxnSpPr>
      </xdr:nvCxnSpPr>
      <xdr:spPr>
        <a:xfrm rot="5400000">
          <a:off x="1433286" y="15983856"/>
          <a:ext cx="453570" cy="163286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18143</xdr:colOff>
      <xdr:row>56</xdr:row>
      <xdr:rowOff>226785</xdr:rowOff>
    </xdr:from>
    <xdr:to>
      <xdr:col>5</xdr:col>
      <xdr:colOff>0</xdr:colOff>
      <xdr:row>65</xdr:row>
      <xdr:rowOff>0</xdr:rowOff>
    </xdr:to>
    <xdr:sp macro="" textlink="">
      <xdr:nvSpPr>
        <xdr:cNvPr id="16" name="角丸四角形 15"/>
        <xdr:cNvSpPr/>
      </xdr:nvSpPr>
      <xdr:spPr>
        <a:xfrm>
          <a:off x="3292929" y="12445999"/>
          <a:ext cx="752928" cy="2276930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469900</xdr:colOff>
      <xdr:row>67</xdr:row>
      <xdr:rowOff>6350</xdr:rowOff>
    </xdr:from>
    <xdr:to>
      <xdr:col>9</xdr:col>
      <xdr:colOff>114300</xdr:colOff>
      <xdr:row>76</xdr:row>
      <xdr:rowOff>0</xdr:rowOff>
    </xdr:to>
    <xdr:sp macro="" textlink="">
      <xdr:nvSpPr>
        <xdr:cNvPr id="17" name="角丸四角形 16"/>
        <xdr:cNvSpPr/>
      </xdr:nvSpPr>
      <xdr:spPr>
        <a:xfrm flipH="1">
          <a:off x="2971800" y="16510000"/>
          <a:ext cx="4254500" cy="20574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■設備種類：「電気式」か「</a:t>
          </a:r>
          <a:r>
            <a:rPr kumimoji="1" lang="en-US" altLang="ja-JP" sz="1100">
              <a:solidFill>
                <a:sysClr val="windowText" lastClr="000000"/>
              </a:solidFill>
            </a:rPr>
            <a:t>GHP</a:t>
          </a:r>
          <a:r>
            <a:rPr kumimoji="1" lang="ja-JP" altLang="en-US" sz="1100">
              <a:solidFill>
                <a:sysClr val="windowText" lastClr="000000"/>
              </a:solidFill>
            </a:rPr>
            <a:t>」の空調種類を選択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■ガス燃料種類：</a:t>
          </a:r>
          <a:r>
            <a:rPr kumimoji="1" lang="en-US" altLang="ja-JP" sz="1100">
              <a:solidFill>
                <a:sysClr val="windowText" lastClr="000000"/>
              </a:solidFill>
            </a:rPr>
            <a:t>GHP</a:t>
          </a:r>
          <a:r>
            <a:rPr kumimoji="1" lang="ja-JP" altLang="en-US" sz="1100">
              <a:solidFill>
                <a:sysClr val="windowText" lastClr="000000"/>
              </a:solidFill>
            </a:rPr>
            <a:t>の場合にガスの種類を選択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・電気式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電気のみを用いて稼働する</a:t>
          </a:r>
          <a:r>
            <a:rPr kumimoji="1" lang="en-US" altLang="ja-JP" sz="1100">
              <a:solidFill>
                <a:sysClr val="windowText" lastClr="000000"/>
              </a:solidFill>
            </a:rPr>
            <a:t>EHP</a:t>
          </a:r>
          <a:r>
            <a:rPr kumimoji="1" lang="ja-JP" altLang="en-US" sz="1100">
              <a:solidFill>
                <a:sysClr val="windowText" lastClr="000000"/>
              </a:solidFill>
            </a:rPr>
            <a:t>式の空調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GHP…</a:t>
          </a:r>
          <a:r>
            <a:rPr kumimoji="1" lang="ja-JP" altLang="en-US" sz="1100">
              <a:solidFill>
                <a:sysClr val="windowText" lastClr="000000"/>
              </a:solidFill>
            </a:rPr>
            <a:t>ガスを用いて稼働するガスヒートポンプ式の空調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5</xdr:col>
      <xdr:colOff>45357</xdr:colOff>
      <xdr:row>50</xdr:row>
      <xdr:rowOff>0</xdr:rowOff>
    </xdr:to>
    <xdr:sp macro="" textlink="">
      <xdr:nvSpPr>
        <xdr:cNvPr id="18" name="角丸四角形 17"/>
        <xdr:cNvSpPr/>
      </xdr:nvSpPr>
      <xdr:spPr>
        <a:xfrm flipH="1">
          <a:off x="279400" y="11925300"/>
          <a:ext cx="3804557" cy="9144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■必要な記載：</a:t>
          </a:r>
          <a:r>
            <a:rPr kumimoji="1" lang="ja-JP" altLang="en-US" sz="1100" b="1">
              <a:solidFill>
                <a:sysClr val="windowText" lastClr="000000"/>
              </a:solidFill>
            </a:rPr>
            <a:t>既存設備を導入した年度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製品の発売された年度によって算定方法が変わります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190494</xdr:colOff>
      <xdr:row>42</xdr:row>
      <xdr:rowOff>0</xdr:rowOff>
    </xdr:from>
    <xdr:to>
      <xdr:col>15</xdr:col>
      <xdr:colOff>597647</xdr:colOff>
      <xdr:row>51</xdr:row>
      <xdr:rowOff>0</xdr:rowOff>
    </xdr:to>
    <xdr:sp macro="" textlink="">
      <xdr:nvSpPr>
        <xdr:cNvPr id="19" name="角丸四角形 18"/>
        <xdr:cNvSpPr/>
      </xdr:nvSpPr>
      <xdr:spPr>
        <a:xfrm flipH="1">
          <a:off x="5001553" y="10638118"/>
          <a:ext cx="7332388" cy="2622176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■空調の削減効果の算定方法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による算定ができない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は電気・ガス消費量から算定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・例：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2006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月以前に発売された電気式や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の空調を更新する場合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・例：「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」→「電気式」など燃料が変わり、同じ基準の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がなく、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による算定ができない更新の場合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●</a:t>
          </a:r>
          <a:r>
            <a:rPr kumimoji="1" lang="en-US" altLang="ja-JP" sz="1100">
              <a:solidFill>
                <a:sysClr val="windowText" lastClr="000000"/>
              </a:solidFill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</a:rPr>
            <a:t>による算定が可能な空調は</a:t>
          </a:r>
          <a:r>
            <a:rPr kumimoji="1" lang="en-US" altLang="ja-JP" sz="1100">
              <a:solidFill>
                <a:sysClr val="windowText" lastClr="000000"/>
              </a:solidFill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</a:rPr>
            <a:t>の値を用いて算定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・例：</a:t>
          </a:r>
          <a:r>
            <a:rPr kumimoji="1" lang="en-US" altLang="ja-JP" sz="1100">
              <a:solidFill>
                <a:sysClr val="windowText" lastClr="000000"/>
              </a:solidFill>
            </a:rPr>
            <a:t>2006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月以降に発売された電気式や</a:t>
          </a:r>
          <a:r>
            <a:rPr kumimoji="1" lang="en-US" altLang="ja-JP" sz="1100">
              <a:solidFill>
                <a:sysClr val="windowText" lastClr="000000"/>
              </a:solidFill>
            </a:rPr>
            <a:t>GHP</a:t>
          </a:r>
          <a:r>
            <a:rPr kumimoji="1" lang="ja-JP" altLang="en-US" sz="1100">
              <a:solidFill>
                <a:sysClr val="windowText" lastClr="000000"/>
              </a:solidFill>
            </a:rPr>
            <a:t>の空調を更新する場合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・例：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省エネルギー診断の受診により、更新前空調の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が明らかなものを更新する場合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1203778</xdr:colOff>
      <xdr:row>49</xdr:row>
      <xdr:rowOff>228599</xdr:rowOff>
    </xdr:from>
    <xdr:to>
      <xdr:col>4</xdr:col>
      <xdr:colOff>393247</xdr:colOff>
      <xdr:row>56</xdr:row>
      <xdr:rowOff>226784</xdr:rowOff>
    </xdr:to>
    <xdr:cxnSp macro="">
      <xdr:nvCxnSpPr>
        <xdr:cNvPr id="20" name="カギ線コネクタ 19"/>
        <xdr:cNvCxnSpPr>
          <a:stCxn id="18" idx="2"/>
          <a:endCxn id="16" idx="0"/>
        </xdr:cNvCxnSpPr>
      </xdr:nvCxnSpPr>
      <xdr:spPr>
        <a:xfrm rot="16200000" flipH="1">
          <a:off x="2123395" y="12897982"/>
          <a:ext cx="1598385" cy="1481819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0</xdr:rowOff>
    </xdr:from>
    <xdr:to>
      <xdr:col>5</xdr:col>
      <xdr:colOff>0</xdr:colOff>
      <xdr:row>45</xdr:row>
      <xdr:rowOff>311150</xdr:rowOff>
    </xdr:to>
    <xdr:sp macro="" textlink="">
      <xdr:nvSpPr>
        <xdr:cNvPr id="28" name="角丸四角形 27"/>
        <xdr:cNvSpPr/>
      </xdr:nvSpPr>
      <xdr:spPr>
        <a:xfrm flipH="1">
          <a:off x="279400" y="10820400"/>
          <a:ext cx="3759200" cy="104775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とは：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通年エネルギー消費効率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月以降、仕様書やカタログ等への表示が義務付けられています。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・「導入年度」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18144</xdr:colOff>
      <xdr:row>57</xdr:row>
      <xdr:rowOff>-1</xdr:rowOff>
    </xdr:from>
    <xdr:to>
      <xdr:col>6</xdr:col>
      <xdr:colOff>0</xdr:colOff>
      <xdr:row>65</xdr:row>
      <xdr:rowOff>0</xdr:rowOff>
    </xdr:to>
    <xdr:sp macro="" textlink="">
      <xdr:nvSpPr>
        <xdr:cNvPr id="31" name="角丸四角形 30"/>
        <xdr:cNvSpPr/>
      </xdr:nvSpPr>
      <xdr:spPr>
        <a:xfrm>
          <a:off x="4064001" y="13561785"/>
          <a:ext cx="752928" cy="2276929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44</xdr:row>
      <xdr:rowOff>155575</xdr:rowOff>
    </xdr:from>
    <xdr:to>
      <xdr:col>5</xdr:col>
      <xdr:colOff>393247</xdr:colOff>
      <xdr:row>56</xdr:row>
      <xdr:rowOff>228599</xdr:rowOff>
    </xdr:to>
    <xdr:cxnSp macro="">
      <xdr:nvCxnSpPr>
        <xdr:cNvPr id="32" name="カギ線コネクタ 31"/>
        <xdr:cNvCxnSpPr>
          <a:stCxn id="28" idx="1"/>
          <a:endCxn id="31" idx="0"/>
        </xdr:cNvCxnSpPr>
      </xdr:nvCxnSpPr>
      <xdr:spPr>
        <a:xfrm>
          <a:off x="4038600" y="11344275"/>
          <a:ext cx="393247" cy="2409824"/>
        </a:xfrm>
        <a:prstGeom prst="bentConnector2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45357</xdr:colOff>
      <xdr:row>45</xdr:row>
      <xdr:rowOff>203200</xdr:rowOff>
    </xdr:from>
    <xdr:to>
      <xdr:col>6</xdr:col>
      <xdr:colOff>190494</xdr:colOff>
      <xdr:row>48</xdr:row>
      <xdr:rowOff>0</xdr:rowOff>
    </xdr:to>
    <xdr:cxnSp macro="">
      <xdr:nvCxnSpPr>
        <xdr:cNvPr id="42" name="カギ線コネクタ 41"/>
        <xdr:cNvCxnSpPr>
          <a:stCxn id="18" idx="1"/>
          <a:endCxn id="19" idx="3"/>
        </xdr:cNvCxnSpPr>
      </xdr:nvCxnSpPr>
      <xdr:spPr>
        <a:xfrm flipV="1">
          <a:off x="4083957" y="11760200"/>
          <a:ext cx="913487" cy="622300"/>
        </a:xfrm>
        <a:prstGeom prst="bentConnector3">
          <a:avLst>
            <a:gd name="adj1" fmla="val 50000"/>
          </a:avLst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292101</xdr:colOff>
      <xdr:row>65</xdr:row>
      <xdr:rowOff>0</xdr:rowOff>
    </xdr:from>
    <xdr:to>
      <xdr:col>7</xdr:col>
      <xdr:colOff>1</xdr:colOff>
      <xdr:row>67</xdr:row>
      <xdr:rowOff>6349</xdr:rowOff>
    </xdr:to>
    <xdr:cxnSp macro="">
      <xdr:nvCxnSpPr>
        <xdr:cNvPr id="49" name="カギ線コネクタ 48"/>
        <xdr:cNvCxnSpPr>
          <a:stCxn id="52" idx="2"/>
          <a:endCxn id="17" idx="0"/>
        </xdr:cNvCxnSpPr>
      </xdr:nvCxnSpPr>
      <xdr:spPr>
        <a:xfrm rot="5400000">
          <a:off x="5102226" y="16036925"/>
          <a:ext cx="469899" cy="476250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60</xdr:row>
      <xdr:rowOff>0</xdr:rowOff>
    </xdr:from>
    <xdr:to>
      <xdr:col>8</xdr:col>
      <xdr:colOff>0</xdr:colOff>
      <xdr:row>65</xdr:row>
      <xdr:rowOff>1</xdr:rowOff>
    </xdr:to>
    <xdr:sp macro="" textlink="">
      <xdr:nvSpPr>
        <xdr:cNvPr id="52" name="角丸四角形 51"/>
        <xdr:cNvSpPr/>
      </xdr:nvSpPr>
      <xdr:spPr>
        <a:xfrm>
          <a:off x="4806950" y="15582900"/>
          <a:ext cx="1536700" cy="1143001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241299</xdr:colOff>
      <xdr:row>67</xdr:row>
      <xdr:rowOff>0</xdr:rowOff>
    </xdr:from>
    <xdr:to>
      <xdr:col>15</xdr:col>
      <xdr:colOff>768349</xdr:colOff>
      <xdr:row>78</xdr:row>
      <xdr:rowOff>0</xdr:rowOff>
    </xdr:to>
    <xdr:sp macro="" textlink="">
      <xdr:nvSpPr>
        <xdr:cNvPr id="79" name="角丸四角形 78"/>
        <xdr:cNvSpPr/>
      </xdr:nvSpPr>
      <xdr:spPr>
        <a:xfrm flipH="1">
          <a:off x="7353299" y="16503650"/>
          <a:ext cx="5137150" cy="252095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■定格能力、定格消費電力、定格消費ガス量：</a:t>
          </a:r>
          <a:r>
            <a:rPr kumimoji="1" lang="ja-JP" altLang="en-US" sz="1100" b="1">
              <a:solidFill>
                <a:sysClr val="windowText" lastClr="000000"/>
              </a:solidFill>
            </a:rPr>
            <a:t>仕様書に基づいた値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●仕様が不明な場合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省エネ診断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で確認が取れた消費電力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・省エネルギー法等を順守した資料に基づく消費電力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・根拠に基づいた値を記載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根拠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資料は提出が必要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447165</xdr:colOff>
      <xdr:row>73</xdr:row>
      <xdr:rowOff>18144</xdr:rowOff>
    </xdr:from>
    <xdr:to>
      <xdr:col>26</xdr:col>
      <xdr:colOff>653143</xdr:colOff>
      <xdr:row>77</xdr:row>
      <xdr:rowOff>18143</xdr:rowOff>
    </xdr:to>
    <xdr:sp macro="" textlink="">
      <xdr:nvSpPr>
        <xdr:cNvPr id="80" name="角丸四角形 79"/>
        <xdr:cNvSpPr/>
      </xdr:nvSpPr>
      <xdr:spPr>
        <a:xfrm flipH="1">
          <a:off x="18372308" y="17680215"/>
          <a:ext cx="3789192" cy="91621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</a:t>
          </a:r>
          <a:r>
            <a:rPr kumimoji="1" lang="ja-JP" altLang="en-US" sz="1100" b="1">
              <a:solidFill>
                <a:srgbClr val="0070C0"/>
              </a:solidFill>
            </a:rPr>
            <a:t>更新前</a:t>
          </a:r>
          <a:r>
            <a:rPr kumimoji="1" lang="ja-JP" altLang="en-US" sz="1100" b="1">
              <a:solidFill>
                <a:sysClr val="windowText" lastClr="000000"/>
              </a:solidFill>
            </a:rPr>
            <a:t>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60</xdr:row>
      <xdr:rowOff>0</xdr:rowOff>
    </xdr:from>
    <xdr:to>
      <xdr:col>11</xdr:col>
      <xdr:colOff>0</xdr:colOff>
      <xdr:row>65</xdr:row>
      <xdr:rowOff>1</xdr:rowOff>
    </xdr:to>
    <xdr:sp macro="" textlink="">
      <xdr:nvSpPr>
        <xdr:cNvPr id="81" name="角丸四角形 80"/>
        <xdr:cNvSpPr/>
      </xdr:nvSpPr>
      <xdr:spPr>
        <a:xfrm>
          <a:off x="7130143" y="14704786"/>
          <a:ext cx="2313214" cy="1133929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16</xdr:col>
      <xdr:colOff>0</xdr:colOff>
      <xdr:row>65</xdr:row>
      <xdr:rowOff>1</xdr:rowOff>
    </xdr:to>
    <xdr:sp macro="" textlink="">
      <xdr:nvSpPr>
        <xdr:cNvPr id="82" name="角丸四角形 81"/>
        <xdr:cNvSpPr/>
      </xdr:nvSpPr>
      <xdr:spPr>
        <a:xfrm>
          <a:off x="10985500" y="14704786"/>
          <a:ext cx="2313214" cy="1133929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384175</xdr:colOff>
      <xdr:row>65</xdr:row>
      <xdr:rowOff>0</xdr:rowOff>
    </xdr:from>
    <xdr:to>
      <xdr:col>12</xdr:col>
      <xdr:colOff>504824</xdr:colOff>
      <xdr:row>66</xdr:row>
      <xdr:rowOff>234949</xdr:rowOff>
    </xdr:to>
    <xdr:cxnSp macro="">
      <xdr:nvCxnSpPr>
        <xdr:cNvPr id="83" name="カギ線コネクタ 82"/>
        <xdr:cNvCxnSpPr>
          <a:stCxn id="81" idx="2"/>
          <a:endCxn id="79" idx="0"/>
        </xdr:cNvCxnSpPr>
      </xdr:nvCxnSpPr>
      <xdr:spPr>
        <a:xfrm rot="16200000" flipH="1">
          <a:off x="8477250" y="15059025"/>
          <a:ext cx="463549" cy="2425699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504825</xdr:colOff>
      <xdr:row>65</xdr:row>
      <xdr:rowOff>1</xdr:rowOff>
    </xdr:from>
    <xdr:to>
      <xdr:col>14</xdr:col>
      <xdr:colOff>384176</xdr:colOff>
      <xdr:row>67</xdr:row>
      <xdr:rowOff>0</xdr:rowOff>
    </xdr:to>
    <xdr:cxnSp macro="">
      <xdr:nvCxnSpPr>
        <xdr:cNvPr id="86" name="カギ線コネクタ 85"/>
        <xdr:cNvCxnSpPr>
          <a:stCxn id="82" idx="2"/>
          <a:endCxn id="79" idx="0"/>
        </xdr:cNvCxnSpPr>
      </xdr:nvCxnSpPr>
      <xdr:spPr>
        <a:xfrm rot="5400000">
          <a:off x="10398126" y="15563850"/>
          <a:ext cx="463549" cy="1416051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47</xdr:row>
      <xdr:rowOff>0</xdr:rowOff>
    </xdr:from>
    <xdr:to>
      <xdr:col>21</xdr:col>
      <xdr:colOff>0</xdr:colOff>
      <xdr:row>50</xdr:row>
      <xdr:rowOff>0</xdr:rowOff>
    </xdr:to>
    <xdr:sp macro="" textlink="">
      <xdr:nvSpPr>
        <xdr:cNvPr id="92" name="角丸四角形 91"/>
        <xdr:cNvSpPr/>
      </xdr:nvSpPr>
      <xdr:spPr>
        <a:xfrm flipH="1">
          <a:off x="13176250" y="12001500"/>
          <a:ext cx="3810000" cy="66675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■年間使用時間：</a:t>
          </a:r>
          <a:r>
            <a:rPr kumimoji="1" lang="ja-JP" altLang="en-US" sz="1100" b="1">
              <a:solidFill>
                <a:sysClr val="windowText" lastClr="000000"/>
              </a:solidFill>
            </a:rPr>
            <a:t>業務実態に基づいた使用時間・日数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</xdr:colOff>
      <xdr:row>57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93" name="角丸四角形 92"/>
        <xdr:cNvSpPr/>
      </xdr:nvSpPr>
      <xdr:spPr>
        <a:xfrm>
          <a:off x="9443358" y="13561786"/>
          <a:ext cx="1542142" cy="916214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57</xdr:row>
      <xdr:rowOff>0</xdr:rowOff>
    </xdr:from>
    <xdr:to>
      <xdr:col>17</xdr:col>
      <xdr:colOff>771070</xdr:colOff>
      <xdr:row>59</xdr:row>
      <xdr:rowOff>0</xdr:rowOff>
    </xdr:to>
    <xdr:sp macro="" textlink="">
      <xdr:nvSpPr>
        <xdr:cNvPr id="94" name="角丸四角形 93"/>
        <xdr:cNvSpPr/>
      </xdr:nvSpPr>
      <xdr:spPr>
        <a:xfrm>
          <a:off x="13298714" y="13561786"/>
          <a:ext cx="1542142" cy="916214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0</xdr:colOff>
      <xdr:row>50</xdr:row>
      <xdr:rowOff>1</xdr:rowOff>
    </xdr:from>
    <xdr:to>
      <xdr:col>18</xdr:col>
      <xdr:colOff>380999</xdr:colOff>
      <xdr:row>57</xdr:row>
      <xdr:rowOff>1</xdr:rowOff>
    </xdr:to>
    <xdr:cxnSp macro="">
      <xdr:nvCxnSpPr>
        <xdr:cNvPr id="95" name="カギ線コネクタ 94"/>
        <xdr:cNvCxnSpPr>
          <a:stCxn id="93" idx="0"/>
          <a:endCxn id="92" idx="2"/>
        </xdr:cNvCxnSpPr>
      </xdr:nvCxnSpPr>
      <xdr:spPr>
        <a:xfrm rot="5400000" flipH="1" flipV="1">
          <a:off x="12160250" y="10636251"/>
          <a:ext cx="889000" cy="4952999"/>
        </a:xfrm>
        <a:prstGeom prst="bentConnector3">
          <a:avLst>
            <a:gd name="adj1" fmla="val 35714"/>
          </a:avLst>
        </a:prstGeom>
        <a:ln w="285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4534</xdr:colOff>
      <xdr:row>50</xdr:row>
      <xdr:rowOff>1</xdr:rowOff>
    </xdr:from>
    <xdr:to>
      <xdr:col>18</xdr:col>
      <xdr:colOff>380999</xdr:colOff>
      <xdr:row>57</xdr:row>
      <xdr:rowOff>1</xdr:rowOff>
    </xdr:to>
    <xdr:cxnSp macro="">
      <xdr:nvCxnSpPr>
        <xdr:cNvPr id="98" name="カギ線コネクタ 97"/>
        <xdr:cNvCxnSpPr>
          <a:stCxn id="94" idx="0"/>
          <a:endCxn id="92" idx="2"/>
        </xdr:cNvCxnSpPr>
      </xdr:nvCxnSpPr>
      <xdr:spPr>
        <a:xfrm rot="5400000" flipH="1" flipV="1">
          <a:off x="14067517" y="12543518"/>
          <a:ext cx="889000" cy="1138465"/>
        </a:xfrm>
        <a:prstGeom prst="bentConnector3">
          <a:avLst>
            <a:gd name="adj1" fmla="val 35714"/>
          </a:avLst>
        </a:prstGeom>
        <a:ln w="28575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42</xdr:row>
      <xdr:rowOff>0</xdr:rowOff>
    </xdr:from>
    <xdr:to>
      <xdr:col>20</xdr:col>
      <xdr:colOff>418354</xdr:colOff>
      <xdr:row>45</xdr:row>
      <xdr:rowOff>210778</xdr:rowOff>
    </xdr:to>
    <xdr:sp macro="" textlink="">
      <xdr:nvSpPr>
        <xdr:cNvPr id="101" name="テキスト ボックス 100"/>
        <xdr:cNvSpPr txBox="1"/>
      </xdr:nvSpPr>
      <xdr:spPr>
        <a:xfrm>
          <a:off x="13298714" y="10259786"/>
          <a:ext cx="3502640" cy="132656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使用時間の確認</a:t>
          </a:r>
          <a:endParaRPr kumimoji="1" lang="en-US" altLang="ja-JP" sz="1100" b="1"/>
        </a:p>
        <a:p>
          <a:r>
            <a:rPr kumimoji="1" lang="ja-JP" altLang="en-US" sz="1100"/>
            <a:t>必要に応じて、使用時間の</a:t>
          </a:r>
          <a:r>
            <a:rPr kumimoji="1" lang="ja-JP" altLang="en-US" sz="1100" b="1"/>
            <a:t>根拠資料の提出</a:t>
          </a:r>
          <a:r>
            <a:rPr kumimoji="1" lang="ja-JP" altLang="en-US" sz="1100"/>
            <a:t>をお願いする場合や、</a:t>
          </a:r>
          <a:r>
            <a:rPr kumimoji="1" lang="ja-JP" altLang="en-US" sz="1100" b="1"/>
            <a:t>ヒアリング</a:t>
          </a:r>
          <a:r>
            <a:rPr kumimoji="1" lang="ja-JP" altLang="en-US" sz="1100" b="0"/>
            <a:t>、</a:t>
          </a:r>
          <a:r>
            <a:rPr kumimoji="1" lang="ja-JP" altLang="en-US" sz="1100" b="1"/>
            <a:t>現地調査</a:t>
          </a:r>
          <a:r>
            <a:rPr kumimoji="1" lang="ja-JP" altLang="en-US" sz="1100"/>
            <a:t>を実施することがあります。</a:t>
          </a:r>
          <a:endParaRPr kumimoji="1" lang="en-US" altLang="ja-JP" sz="1100"/>
        </a:p>
        <a:p>
          <a:r>
            <a:rPr kumimoji="1" lang="ja-JP" altLang="en-US" sz="1100"/>
            <a:t>あらかじめご了承ください。</a:t>
          </a:r>
        </a:p>
      </xdr:txBody>
    </xdr:sp>
    <xdr:clientData/>
  </xdr:twoCellAnchor>
  <xdr:twoCellAnchor>
    <xdr:from>
      <xdr:col>18</xdr:col>
      <xdr:colOff>209178</xdr:colOff>
      <xdr:row>45</xdr:row>
      <xdr:rowOff>210778</xdr:rowOff>
    </xdr:from>
    <xdr:to>
      <xdr:col>18</xdr:col>
      <xdr:colOff>381001</xdr:colOff>
      <xdr:row>47</xdr:row>
      <xdr:rowOff>0</xdr:rowOff>
    </xdr:to>
    <xdr:cxnSp macro="">
      <xdr:nvCxnSpPr>
        <xdr:cNvPr id="106" name="カギ線コネクタ 105"/>
        <xdr:cNvCxnSpPr>
          <a:stCxn id="92" idx="0"/>
          <a:endCxn id="101" idx="2"/>
        </xdr:cNvCxnSpPr>
      </xdr:nvCxnSpPr>
      <xdr:spPr>
        <a:xfrm rot="16200000" flipV="1">
          <a:off x="14807041" y="11727290"/>
          <a:ext cx="376597" cy="171823"/>
        </a:xfrm>
        <a:prstGeom prst="bentConnector3">
          <a:avLst>
            <a:gd name="adj1" fmla="val 50000"/>
          </a:avLst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771070</xdr:colOff>
      <xdr:row>66</xdr:row>
      <xdr:rowOff>235856</xdr:rowOff>
    </xdr:from>
    <xdr:to>
      <xdr:col>32</xdr:col>
      <xdr:colOff>771069</xdr:colOff>
      <xdr:row>69</xdr:row>
      <xdr:rowOff>226784</xdr:rowOff>
    </xdr:to>
    <xdr:sp macro="" textlink="">
      <xdr:nvSpPr>
        <xdr:cNvPr id="129" name="角丸四角形 128"/>
        <xdr:cNvSpPr/>
      </xdr:nvSpPr>
      <xdr:spPr>
        <a:xfrm flipH="1">
          <a:off x="21508356" y="16301356"/>
          <a:ext cx="5397499" cy="680357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■型番、定格能力、定格消費電力、定格消費</a:t>
          </a:r>
          <a:r>
            <a:rPr kumimoji="1" lang="ja-JP" altLang="en-US" sz="1100" b="0">
              <a:solidFill>
                <a:sysClr val="windowText" lastClr="000000"/>
              </a:solidFill>
            </a:rPr>
            <a:t>ガス量：仕様書に基づいた型番・値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0</xdr:colOff>
      <xdr:row>60</xdr:row>
      <xdr:rowOff>0</xdr:rowOff>
    </xdr:from>
    <xdr:to>
      <xdr:col>23</xdr:col>
      <xdr:colOff>0</xdr:colOff>
      <xdr:row>65</xdr:row>
      <xdr:rowOff>1</xdr:rowOff>
    </xdr:to>
    <xdr:sp macro="" textlink="">
      <xdr:nvSpPr>
        <xdr:cNvPr id="136" name="角丸四角形 135"/>
        <xdr:cNvSpPr/>
      </xdr:nvSpPr>
      <xdr:spPr>
        <a:xfrm>
          <a:off x="17925143" y="14704786"/>
          <a:ext cx="1270000" cy="1133929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60</xdr:row>
      <xdr:rowOff>0</xdr:rowOff>
    </xdr:from>
    <xdr:to>
      <xdr:col>33</xdr:col>
      <xdr:colOff>0</xdr:colOff>
      <xdr:row>65</xdr:row>
      <xdr:rowOff>1</xdr:rowOff>
    </xdr:to>
    <xdr:sp macro="" textlink="">
      <xdr:nvSpPr>
        <xdr:cNvPr id="137" name="角丸四角形 136"/>
        <xdr:cNvSpPr/>
      </xdr:nvSpPr>
      <xdr:spPr>
        <a:xfrm>
          <a:off x="22279429" y="14704786"/>
          <a:ext cx="4626428" cy="1133929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635001</xdr:colOff>
      <xdr:row>65</xdr:row>
      <xdr:rowOff>0</xdr:rowOff>
    </xdr:from>
    <xdr:to>
      <xdr:col>29</xdr:col>
      <xdr:colOff>385535</xdr:colOff>
      <xdr:row>66</xdr:row>
      <xdr:rowOff>235855</xdr:rowOff>
    </xdr:to>
    <xdr:cxnSp macro="">
      <xdr:nvCxnSpPr>
        <xdr:cNvPr id="138" name="カギ線コネクタ 137"/>
        <xdr:cNvCxnSpPr>
          <a:stCxn id="136" idx="2"/>
          <a:endCxn id="129" idx="0"/>
        </xdr:cNvCxnSpPr>
      </xdr:nvCxnSpPr>
      <xdr:spPr>
        <a:xfrm rot="16200000" flipH="1">
          <a:off x="21152304" y="13246554"/>
          <a:ext cx="462641" cy="5646962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385535</xdr:colOff>
      <xdr:row>65</xdr:row>
      <xdr:rowOff>0</xdr:rowOff>
    </xdr:from>
    <xdr:to>
      <xdr:col>30</xdr:col>
      <xdr:colOff>1</xdr:colOff>
      <xdr:row>66</xdr:row>
      <xdr:rowOff>235855</xdr:rowOff>
    </xdr:to>
    <xdr:cxnSp macro="">
      <xdr:nvCxnSpPr>
        <xdr:cNvPr id="145" name="カギ線コネクタ 144"/>
        <xdr:cNvCxnSpPr>
          <a:stCxn id="137" idx="2"/>
          <a:endCxn id="129" idx="0"/>
        </xdr:cNvCxnSpPr>
      </xdr:nvCxnSpPr>
      <xdr:spPr>
        <a:xfrm rot="5400000">
          <a:off x="24168554" y="15877266"/>
          <a:ext cx="462641" cy="385538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78</xdr:row>
      <xdr:rowOff>0</xdr:rowOff>
    </xdr:from>
    <xdr:to>
      <xdr:col>22</xdr:col>
      <xdr:colOff>0</xdr:colOff>
      <xdr:row>82</xdr:row>
      <xdr:rowOff>18142</xdr:rowOff>
    </xdr:to>
    <xdr:sp macro="" textlink="">
      <xdr:nvSpPr>
        <xdr:cNvPr id="148" name="テキスト ボックス 147"/>
        <xdr:cNvSpPr txBox="1"/>
      </xdr:nvSpPr>
      <xdr:spPr>
        <a:xfrm>
          <a:off x="14078857" y="18805071"/>
          <a:ext cx="3846286" cy="92528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■算定には定格の値を用いてください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最大・中間・最低能力、低温能力など、</a:t>
          </a:r>
          <a:r>
            <a:rPr kumimoji="1" lang="ja-JP" altLang="en-US" sz="1100" b="1"/>
            <a:t>定格以外の能力は用いない</a:t>
          </a:r>
          <a:r>
            <a:rPr kumimoji="1" lang="ja-JP" altLang="en-US" sz="1100"/>
            <a:t>でください。</a:t>
          </a:r>
          <a:endParaRPr kumimoji="1" lang="en-US" altLang="ja-JP" sz="1100"/>
        </a:p>
      </xdr:txBody>
    </xdr:sp>
    <xdr:clientData/>
  </xdr:twoCellAnchor>
  <xdr:twoCellAnchor>
    <xdr:from>
      <xdr:col>19</xdr:col>
      <xdr:colOff>390071</xdr:colOff>
      <xdr:row>76</xdr:row>
      <xdr:rowOff>45284</xdr:rowOff>
    </xdr:from>
    <xdr:to>
      <xdr:col>20</xdr:col>
      <xdr:colOff>171115</xdr:colOff>
      <xdr:row>78</xdr:row>
      <xdr:rowOff>1</xdr:rowOff>
    </xdr:to>
    <xdr:cxnSp macro="">
      <xdr:nvCxnSpPr>
        <xdr:cNvPr id="149" name="カギ線コネクタ 148"/>
        <xdr:cNvCxnSpPr>
          <a:stCxn id="163" idx="4"/>
          <a:endCxn id="148" idx="0"/>
        </xdr:cNvCxnSpPr>
      </xdr:nvCxnSpPr>
      <xdr:spPr>
        <a:xfrm rot="5400000">
          <a:off x="16073914" y="18324870"/>
          <a:ext cx="408288" cy="552115"/>
        </a:xfrm>
        <a:prstGeom prst="bentConnector3">
          <a:avLst>
            <a:gd name="adj1" fmla="val 50000"/>
          </a:avLst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385534</xdr:colOff>
      <xdr:row>69</xdr:row>
      <xdr:rowOff>226783</xdr:rowOff>
    </xdr:from>
    <xdr:to>
      <xdr:col>30</xdr:col>
      <xdr:colOff>444499</xdr:colOff>
      <xdr:row>73</xdr:row>
      <xdr:rowOff>0</xdr:rowOff>
    </xdr:to>
    <xdr:cxnSp macro="">
      <xdr:nvCxnSpPr>
        <xdr:cNvPr id="158" name="カギ線コネクタ 157"/>
        <xdr:cNvCxnSpPr>
          <a:stCxn id="129" idx="2"/>
          <a:endCxn id="159" idx="0"/>
        </xdr:cNvCxnSpPr>
      </xdr:nvCxnSpPr>
      <xdr:spPr>
        <a:xfrm rot="16200000" flipH="1">
          <a:off x="24281944" y="16906873"/>
          <a:ext cx="680359" cy="830037"/>
        </a:xfrm>
        <a:prstGeom prst="bentConnector3">
          <a:avLst>
            <a:gd name="adj1" fmla="val 50000"/>
          </a:avLst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73</xdr:row>
      <xdr:rowOff>1</xdr:rowOff>
    </xdr:from>
    <xdr:to>
      <xdr:col>33</xdr:col>
      <xdr:colOff>117928</xdr:colOff>
      <xdr:row>77</xdr:row>
      <xdr:rowOff>0</xdr:rowOff>
    </xdr:to>
    <xdr:sp macro="" textlink="">
      <xdr:nvSpPr>
        <xdr:cNvPr id="159" name="角丸四角形 158"/>
        <xdr:cNvSpPr/>
      </xdr:nvSpPr>
      <xdr:spPr>
        <a:xfrm flipH="1">
          <a:off x="23050500" y="17662072"/>
          <a:ext cx="3973285" cy="916214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</a:t>
          </a:r>
          <a:r>
            <a:rPr kumimoji="1" lang="ja-JP" altLang="en-US" sz="1100" b="1">
              <a:solidFill>
                <a:srgbClr val="0070C0"/>
              </a:solidFill>
            </a:rPr>
            <a:t>更新後</a:t>
          </a:r>
          <a:r>
            <a:rPr kumimoji="1" lang="ja-JP" altLang="en-US" sz="1100" b="1">
              <a:solidFill>
                <a:sysClr val="windowText" lastClr="000000"/>
              </a:solidFill>
            </a:rPr>
            <a:t>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734786</xdr:colOff>
      <xdr:row>67</xdr:row>
      <xdr:rowOff>208642</xdr:rowOff>
    </xdr:from>
    <xdr:to>
      <xdr:col>21</xdr:col>
      <xdr:colOff>19039</xdr:colOff>
      <xdr:row>69</xdr:row>
      <xdr:rowOff>26851</xdr:rowOff>
    </xdr:to>
    <xdr:sp macro="" textlink="">
      <xdr:nvSpPr>
        <xdr:cNvPr id="161" name="正方形/長方形 160"/>
        <xdr:cNvSpPr/>
      </xdr:nvSpPr>
      <xdr:spPr>
        <a:xfrm>
          <a:off x="24556357" y="16509999"/>
          <a:ext cx="826396" cy="271781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725714</xdr:colOff>
      <xdr:row>69</xdr:row>
      <xdr:rowOff>208642</xdr:rowOff>
    </xdr:from>
    <xdr:to>
      <xdr:col>20</xdr:col>
      <xdr:colOff>362857</xdr:colOff>
      <xdr:row>74</xdr:row>
      <xdr:rowOff>36286</xdr:rowOff>
    </xdr:to>
    <xdr:sp macro="" textlink="">
      <xdr:nvSpPr>
        <xdr:cNvPr id="162" name="正方形/長方形 161"/>
        <xdr:cNvSpPr/>
      </xdr:nvSpPr>
      <xdr:spPr>
        <a:xfrm>
          <a:off x="24547285" y="16963571"/>
          <a:ext cx="408215" cy="961572"/>
        </a:xfrm>
        <a:prstGeom prst="rect">
          <a:avLst/>
        </a:prstGeom>
        <a:noFill/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707572</xdr:colOff>
      <xdr:row>74</xdr:row>
      <xdr:rowOff>1</xdr:rowOff>
    </xdr:from>
    <xdr:to>
      <xdr:col>20</xdr:col>
      <xdr:colOff>405729</xdr:colOff>
      <xdr:row>76</xdr:row>
      <xdr:rowOff>45283</xdr:rowOff>
    </xdr:to>
    <xdr:sp macro="" textlink="">
      <xdr:nvSpPr>
        <xdr:cNvPr id="163" name="楕円 162"/>
        <xdr:cNvSpPr/>
      </xdr:nvSpPr>
      <xdr:spPr>
        <a:xfrm>
          <a:off x="24529143" y="17888858"/>
          <a:ext cx="469229" cy="507925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768349</xdr:colOff>
      <xdr:row>72</xdr:row>
      <xdr:rowOff>8164</xdr:rowOff>
    </xdr:from>
    <xdr:to>
      <xdr:col>19</xdr:col>
      <xdr:colOff>725714</xdr:colOff>
      <xdr:row>72</xdr:row>
      <xdr:rowOff>117475</xdr:rowOff>
    </xdr:to>
    <xdr:cxnSp macro="">
      <xdr:nvCxnSpPr>
        <xdr:cNvPr id="164" name="カギ線コネクタ 163"/>
        <xdr:cNvCxnSpPr>
          <a:stCxn id="79" idx="1"/>
          <a:endCxn id="162" idx="1"/>
        </xdr:cNvCxnSpPr>
      </xdr:nvCxnSpPr>
      <xdr:spPr>
        <a:xfrm flipV="1">
          <a:off x="12490449" y="17654814"/>
          <a:ext cx="3030765" cy="109311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768349</xdr:colOff>
      <xdr:row>68</xdr:row>
      <xdr:rowOff>117747</xdr:rowOff>
    </xdr:from>
    <xdr:to>
      <xdr:col>19</xdr:col>
      <xdr:colOff>734786</xdr:colOff>
      <xdr:row>72</xdr:row>
      <xdr:rowOff>117475</xdr:rowOff>
    </xdr:to>
    <xdr:cxnSp macro="">
      <xdr:nvCxnSpPr>
        <xdr:cNvPr id="172" name="カギ線コネクタ 171"/>
        <xdr:cNvCxnSpPr>
          <a:stCxn id="79" idx="1"/>
          <a:endCxn id="161" idx="1"/>
        </xdr:cNvCxnSpPr>
      </xdr:nvCxnSpPr>
      <xdr:spPr>
        <a:xfrm flipV="1">
          <a:off x="12490449" y="16849997"/>
          <a:ext cx="3039837" cy="914128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453571</xdr:colOff>
      <xdr:row>66</xdr:row>
      <xdr:rowOff>90714</xdr:rowOff>
    </xdr:from>
    <xdr:to>
      <xdr:col>22</xdr:col>
      <xdr:colOff>226785</xdr:colOff>
      <xdr:row>76</xdr:row>
      <xdr:rowOff>154214</xdr:rowOff>
    </xdr:to>
    <xdr:sp macro="" textlink="">
      <xdr:nvSpPr>
        <xdr:cNvPr id="184" name="角丸四角形 183"/>
        <xdr:cNvSpPr/>
      </xdr:nvSpPr>
      <xdr:spPr>
        <a:xfrm>
          <a:off x="13752285" y="16156214"/>
          <a:ext cx="4399643" cy="2349500"/>
        </a:xfrm>
        <a:prstGeom prst="round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226785</xdr:colOff>
      <xdr:row>71</xdr:row>
      <xdr:rowOff>122464</xdr:rowOff>
    </xdr:from>
    <xdr:to>
      <xdr:col>24</xdr:col>
      <xdr:colOff>300690</xdr:colOff>
      <xdr:row>73</xdr:row>
      <xdr:rowOff>18144</xdr:rowOff>
    </xdr:to>
    <xdr:cxnSp macro="">
      <xdr:nvCxnSpPr>
        <xdr:cNvPr id="185" name="カギ線コネクタ 184"/>
        <xdr:cNvCxnSpPr>
          <a:stCxn id="184" idx="3"/>
          <a:endCxn id="80" idx="0"/>
        </xdr:cNvCxnSpPr>
      </xdr:nvCxnSpPr>
      <xdr:spPr>
        <a:xfrm>
          <a:off x="18151928" y="17330964"/>
          <a:ext cx="2114976" cy="349251"/>
        </a:xfrm>
        <a:prstGeom prst="bentConnector2">
          <a:avLst/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769467</xdr:colOff>
      <xdr:row>42</xdr:row>
      <xdr:rowOff>0</xdr:rowOff>
    </xdr:from>
    <xdr:to>
      <xdr:col>31</xdr:col>
      <xdr:colOff>769466</xdr:colOff>
      <xdr:row>54</xdr:row>
      <xdr:rowOff>194235</xdr:rowOff>
    </xdr:to>
    <xdr:sp macro="" textlink="">
      <xdr:nvSpPr>
        <xdr:cNvPr id="192" name="角丸四角形 191"/>
        <xdr:cNvSpPr/>
      </xdr:nvSpPr>
      <xdr:spPr>
        <a:xfrm flipH="1">
          <a:off x="17892055" y="10638118"/>
          <a:ext cx="8195235" cy="2816411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■記入例の算定パターン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：消費電力による算定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1995</a:t>
          </a:r>
          <a:r>
            <a:rPr kumimoji="1" lang="ja-JP" altLang="en-US" sz="1100">
              <a:solidFill>
                <a:sysClr val="windowText" lastClr="000000"/>
              </a:solidFill>
            </a:rPr>
            <a:t>年導入の電気式空調→電気式空調への更新」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消費電力・ガスによる算定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2003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年導入の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※1995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2003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年のいずれも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がないため。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による算定：「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2011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年導入の電気式空調→電気式空調への更新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による算定：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2009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年導入の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※2011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2009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年発売の空調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には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仕様に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があるため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：消費電力・ガスによる算定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2008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年導入の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電気式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空調への更新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※2008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年発売の空調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がある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が、電気式と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GHP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の算出が異なり、同じ基準の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APF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による算定ができないため。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508000</xdr:colOff>
      <xdr:row>45</xdr:row>
      <xdr:rowOff>0</xdr:rowOff>
    </xdr:from>
    <xdr:to>
      <xdr:col>41</xdr:col>
      <xdr:colOff>0</xdr:colOff>
      <xdr:row>48</xdr:row>
      <xdr:rowOff>136072</xdr:rowOff>
    </xdr:to>
    <xdr:sp macro="" textlink="">
      <xdr:nvSpPr>
        <xdr:cNvPr id="218" name="角丸四角形 217"/>
        <xdr:cNvSpPr/>
      </xdr:nvSpPr>
      <xdr:spPr>
        <a:xfrm flipH="1">
          <a:off x="28184929" y="11375571"/>
          <a:ext cx="4889500" cy="961572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■削減効果の算定について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別シート（非公開）にて自動計算されます。あらかじめご了承ください。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0</xdr:colOff>
      <xdr:row>55</xdr:row>
      <xdr:rowOff>0</xdr:rowOff>
    </xdr:from>
    <xdr:to>
      <xdr:col>41</xdr:col>
      <xdr:colOff>-1</xdr:colOff>
      <xdr:row>59</xdr:row>
      <xdr:rowOff>0</xdr:rowOff>
    </xdr:to>
    <xdr:sp macro="" textlink="">
      <xdr:nvSpPr>
        <xdr:cNvPr id="219" name="角丸四角形 218"/>
        <xdr:cNvSpPr/>
      </xdr:nvSpPr>
      <xdr:spPr>
        <a:xfrm>
          <a:off x="29990143" y="13108214"/>
          <a:ext cx="3084285" cy="1369786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639537</xdr:colOff>
      <xdr:row>48</xdr:row>
      <xdr:rowOff>136072</xdr:rowOff>
    </xdr:from>
    <xdr:to>
      <xdr:col>39</xdr:col>
      <xdr:colOff>1</xdr:colOff>
      <xdr:row>55</xdr:row>
      <xdr:rowOff>0</xdr:rowOff>
    </xdr:to>
    <xdr:cxnSp macro="">
      <xdr:nvCxnSpPr>
        <xdr:cNvPr id="220" name="カギ線コネクタ 219"/>
        <xdr:cNvCxnSpPr>
          <a:stCxn id="219" idx="0"/>
          <a:endCxn id="218" idx="2"/>
        </xdr:cNvCxnSpPr>
      </xdr:nvCxnSpPr>
      <xdr:spPr>
        <a:xfrm rot="16200000" flipV="1">
          <a:off x="30695448" y="12271375"/>
          <a:ext cx="771071" cy="902607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227330</xdr:rowOff>
    </xdr:from>
    <xdr:to>
      <xdr:col>7</xdr:col>
      <xdr:colOff>749300</xdr:colOff>
      <xdr:row>14</xdr:row>
      <xdr:rowOff>0</xdr:rowOff>
    </xdr:to>
    <xdr:sp macro="" textlink="">
      <xdr:nvSpPr>
        <xdr:cNvPr id="224" name="テキスト ボックス 223"/>
        <xdr:cNvSpPr txBox="1"/>
      </xdr:nvSpPr>
      <xdr:spPr>
        <a:xfrm>
          <a:off x="279400" y="2665730"/>
          <a:ext cx="6045200" cy="92837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を参考に設備更新による削減量を算定してください。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↓ハイパーリンク（クリックで記入例へ移動します。）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417284</xdr:colOff>
      <xdr:row>15</xdr:row>
      <xdr:rowOff>225613</xdr:rowOff>
    </xdr:to>
    <xdr:grpSp>
      <xdr:nvGrpSpPr>
        <xdr:cNvPr id="225" name="グループ化 224"/>
        <xdr:cNvGrpSpPr/>
      </xdr:nvGrpSpPr>
      <xdr:grpSpPr>
        <a:xfrm>
          <a:off x="8648700" y="3365500"/>
          <a:ext cx="3490684" cy="682813"/>
          <a:chOff x="7808258" y="2518207"/>
          <a:chExt cx="2783012" cy="628408"/>
        </a:xfrm>
      </xdr:grpSpPr>
      <xdr:grpSp>
        <xdr:nvGrpSpPr>
          <xdr:cNvPr id="226" name="グループ化 225"/>
          <xdr:cNvGrpSpPr/>
        </xdr:nvGrpSpPr>
        <xdr:grpSpPr>
          <a:xfrm>
            <a:off x="7808258" y="2518207"/>
            <a:ext cx="2783012" cy="628408"/>
            <a:chOff x="17123228" y="2975964"/>
            <a:chExt cx="2793020" cy="616323"/>
          </a:xfrm>
        </xdr:grpSpPr>
        <xdr:sp macro="" textlink="">
          <xdr:nvSpPr>
            <xdr:cNvPr id="228" name="テキスト ボックス 227"/>
            <xdr:cNvSpPr txBox="1"/>
          </xdr:nvSpPr>
          <xdr:spPr>
            <a:xfrm>
              <a:off x="17123228" y="2975964"/>
              <a:ext cx="2793020" cy="61632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●凡例</a:t>
              </a:r>
            </a:p>
          </xdr:txBody>
        </xdr:sp>
        <xdr:sp macro="" textlink="">
          <xdr:nvSpPr>
            <xdr:cNvPr id="229" name="テキスト ボックス 228"/>
            <xdr:cNvSpPr txBox="1"/>
          </xdr:nvSpPr>
          <xdr:spPr>
            <a:xfrm>
              <a:off x="17351828" y="3251553"/>
              <a:ext cx="772886" cy="286305"/>
            </a:xfrm>
            <a:prstGeom prst="rect">
              <a:avLst/>
            </a:prstGeom>
            <a:solidFill>
              <a:srgbClr val="FFF2CC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入力セル</a:t>
              </a:r>
            </a:p>
          </xdr:txBody>
        </xdr:sp>
        <xdr:sp macro="" textlink="">
          <xdr:nvSpPr>
            <xdr:cNvPr id="230" name="テキスト ボックス 229"/>
            <xdr:cNvSpPr txBox="1"/>
          </xdr:nvSpPr>
          <xdr:spPr>
            <a:xfrm>
              <a:off x="18196139" y="3251552"/>
              <a:ext cx="772886" cy="286306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選択セル</a:t>
              </a:r>
            </a:p>
          </xdr:txBody>
        </xdr:sp>
      </xdr:grpSp>
      <xdr:sp macro="" textlink="">
        <xdr:nvSpPr>
          <xdr:cNvPr id="227" name="テキスト ボックス 226"/>
          <xdr:cNvSpPr txBox="1"/>
        </xdr:nvSpPr>
        <xdr:spPr>
          <a:xfrm>
            <a:off x="9717741" y="2804307"/>
            <a:ext cx="770117" cy="28937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入力不可</a:t>
            </a:r>
          </a:p>
        </xdr:txBody>
      </xdr:sp>
    </xdr:grpSp>
    <xdr:clientData/>
  </xdr:twoCellAnchor>
  <xdr:twoCellAnchor>
    <xdr:from>
      <xdr:col>10</xdr:col>
      <xdr:colOff>431800</xdr:colOff>
      <xdr:row>51</xdr:row>
      <xdr:rowOff>69850</xdr:rowOff>
    </xdr:from>
    <xdr:to>
      <xdr:col>17</xdr:col>
      <xdr:colOff>139700</xdr:colOff>
      <xdr:row>54</xdr:row>
      <xdr:rowOff>6350</xdr:rowOff>
    </xdr:to>
    <xdr:sp macro="" textlink="">
      <xdr:nvSpPr>
        <xdr:cNvPr id="61" name="角丸四角形 60"/>
        <xdr:cNvSpPr/>
      </xdr:nvSpPr>
      <xdr:spPr>
        <a:xfrm flipH="1">
          <a:off x="8312150" y="13138150"/>
          <a:ext cx="5086350" cy="6223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■負荷率：参考値（年間一律</a:t>
          </a:r>
          <a:r>
            <a:rPr kumimoji="1" lang="en-US" altLang="ja-JP" sz="1100">
              <a:solidFill>
                <a:sysClr val="windowText" lastClr="000000"/>
              </a:solidFill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</a:rPr>
            <a:t>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変更する場合は、根拠となる資料（省エネ診断報告書等）の提出が必要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54</xdr:row>
      <xdr:rowOff>1</xdr:rowOff>
    </xdr:from>
    <xdr:to>
      <xdr:col>10</xdr:col>
      <xdr:colOff>0</xdr:colOff>
      <xdr:row>55</xdr:row>
      <xdr:rowOff>1</xdr:rowOff>
    </xdr:to>
    <xdr:sp macro="" textlink="">
      <xdr:nvSpPr>
        <xdr:cNvPr id="62" name="角丸四角形 61"/>
        <xdr:cNvSpPr/>
      </xdr:nvSpPr>
      <xdr:spPr>
        <a:xfrm>
          <a:off x="6343650" y="13754101"/>
          <a:ext cx="1536700" cy="228600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52</xdr:row>
      <xdr:rowOff>152399</xdr:rowOff>
    </xdr:from>
    <xdr:to>
      <xdr:col>10</xdr:col>
      <xdr:colOff>431800</xdr:colOff>
      <xdr:row>54</xdr:row>
      <xdr:rowOff>114300</xdr:rowOff>
    </xdr:to>
    <xdr:cxnSp macro="">
      <xdr:nvCxnSpPr>
        <xdr:cNvPr id="63" name="カギ線コネクタ 62"/>
        <xdr:cNvCxnSpPr>
          <a:stCxn id="61" idx="3"/>
          <a:endCxn id="62" idx="3"/>
        </xdr:cNvCxnSpPr>
      </xdr:nvCxnSpPr>
      <xdr:spPr>
        <a:xfrm rot="10800000" flipV="1">
          <a:off x="7880350" y="13449299"/>
          <a:ext cx="431800" cy="419101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117929</xdr:colOff>
      <xdr:row>85</xdr:row>
      <xdr:rowOff>32764</xdr:rowOff>
    </xdr:from>
    <xdr:to>
      <xdr:col>0</xdr:col>
      <xdr:colOff>1079499</xdr:colOff>
      <xdr:row>114</xdr:row>
      <xdr:rowOff>172357</xdr:rowOff>
    </xdr:to>
    <xdr:sp macro="" textlink="">
      <xdr:nvSpPr>
        <xdr:cNvPr id="2" name="角丸四角形 1"/>
        <xdr:cNvSpPr/>
      </xdr:nvSpPr>
      <xdr:spPr>
        <a:xfrm flipH="1">
          <a:off x="117929" y="19581693"/>
          <a:ext cx="961570" cy="6716378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■室内環境：室内機の設置されている室内の環境で、実態に近いものを選択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・事務所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冷房を多用</a:t>
          </a:r>
          <a:r>
            <a:rPr kumimoji="1" lang="ja-JP" altLang="en-US" sz="1100">
              <a:solidFill>
                <a:sysClr val="windowText" lastClr="000000"/>
              </a:solidFill>
            </a:rPr>
            <a:t>、気密性が高い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・店舗・工場等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暖房を多用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気密性が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低い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27752</xdr:colOff>
      <xdr:row>79</xdr:row>
      <xdr:rowOff>9072</xdr:rowOff>
    </xdr:from>
    <xdr:to>
      <xdr:col>3</xdr:col>
      <xdr:colOff>27213</xdr:colOff>
      <xdr:row>83</xdr:row>
      <xdr:rowOff>217714</xdr:rowOff>
    </xdr:to>
    <xdr:sp macro="" textlink="">
      <xdr:nvSpPr>
        <xdr:cNvPr id="3" name="角丸四角形 2"/>
        <xdr:cNvSpPr/>
      </xdr:nvSpPr>
      <xdr:spPr>
        <a:xfrm>
          <a:off x="2041609" y="18197286"/>
          <a:ext cx="761461" cy="1115785"/>
        </a:xfrm>
        <a:prstGeom prst="roundRect">
          <a:avLst/>
        </a:prstGeom>
        <a:noFill/>
        <a:ln w="38100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598714</xdr:colOff>
      <xdr:row>83</xdr:row>
      <xdr:rowOff>217714</xdr:rowOff>
    </xdr:from>
    <xdr:to>
      <xdr:col>2</xdr:col>
      <xdr:colOff>408483</xdr:colOff>
      <xdr:row>85</xdr:row>
      <xdr:rowOff>32764</xdr:rowOff>
    </xdr:to>
    <xdr:cxnSp macro="">
      <xdr:nvCxnSpPr>
        <xdr:cNvPr id="4" name="カギ線コネクタ 3"/>
        <xdr:cNvCxnSpPr>
          <a:stCxn id="3" idx="2"/>
          <a:endCxn id="2" idx="0"/>
        </xdr:cNvCxnSpPr>
      </xdr:nvCxnSpPr>
      <xdr:spPr>
        <a:xfrm rot="5400000">
          <a:off x="1376216" y="18535569"/>
          <a:ext cx="268622" cy="1823626"/>
        </a:xfrm>
        <a:prstGeom prst="bentConnector3">
          <a:avLst>
            <a:gd name="adj1" fmla="val 50000"/>
          </a:avLst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8001000" y="2271059"/>
          <a:ext cx="7769412" cy="23158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エネルギーの削減に繋がらないため、定格能力の増加は原則認められません。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774699</xdr:colOff>
      <xdr:row>13</xdr:row>
      <xdr:rowOff>228597</xdr:rowOff>
    </xdr:from>
    <xdr:to>
      <xdr:col>39</xdr:col>
      <xdr:colOff>2</xdr:colOff>
      <xdr:row>17</xdr:row>
      <xdr:rowOff>2</xdr:rowOff>
    </xdr:to>
    <xdr:grpSp>
      <xdr:nvGrpSpPr>
        <xdr:cNvPr id="2" name="グループ化 1"/>
        <xdr:cNvGrpSpPr/>
      </xdr:nvGrpSpPr>
      <xdr:grpSpPr>
        <a:xfrm>
          <a:off x="24599899" y="3549647"/>
          <a:ext cx="6197603" cy="685805"/>
          <a:chOff x="22339327" y="3482656"/>
          <a:chExt cx="5520133" cy="471020"/>
        </a:xfrm>
      </xdr:grpSpPr>
      <xdr:sp macro="" textlink="">
        <xdr:nvSpPr>
          <xdr:cNvPr id="9" name="テキスト ボックス 8"/>
          <xdr:cNvSpPr txBox="1"/>
        </xdr:nvSpPr>
        <xdr:spPr>
          <a:xfrm>
            <a:off x="22339327" y="3482656"/>
            <a:ext cx="2760067" cy="15700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加熱式設備：年間燃料消費量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(F=Anb</a:t>
            </a:r>
            <a:r>
              <a: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5099394" y="3639665"/>
            <a:ext cx="2760065" cy="15700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年間燃料消費量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(F'=A'n'b')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2339329" y="3796670"/>
            <a:ext cx="2760065" cy="157004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(C=F×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燃料毎の排出係数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5099394" y="3796670"/>
            <a:ext cx="2760066" cy="15700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(C'=F'×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燃料毎の排出係数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339329" y="3639664"/>
            <a:ext cx="2760065" cy="15700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HP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設備：年間燃料消費量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(F=Anb</a:t>
            </a:r>
            <a:r>
              <a:rPr lang="en-US" altLang="ja-JP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55</xdr:row>
      <xdr:rowOff>33007</xdr:rowOff>
    </xdr:to>
    <xdr:sp macro="" textlink="">
      <xdr:nvSpPr>
        <xdr:cNvPr id="13" name="角丸四角形 12"/>
        <xdr:cNvSpPr/>
      </xdr:nvSpPr>
      <xdr:spPr>
        <a:xfrm flipH="1">
          <a:off x="800100" y="13290550"/>
          <a:ext cx="1517650" cy="718807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必要な記載：</a:t>
          </a:r>
          <a:r>
            <a:rPr kumimoji="1" lang="ja-JP" altLang="en-US" sz="1100">
              <a:solidFill>
                <a:sysClr val="windowText" lastClr="000000"/>
              </a:solidFill>
            </a:rPr>
            <a:t>型番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520700</xdr:colOff>
      <xdr:row>45</xdr:row>
      <xdr:rowOff>0</xdr:rowOff>
    </xdr:from>
    <xdr:to>
      <xdr:col>3</xdr:col>
      <xdr:colOff>0</xdr:colOff>
      <xdr:row>50</xdr:row>
      <xdr:rowOff>-1</xdr:rowOff>
    </xdr:to>
    <xdr:sp macro="" textlink="">
      <xdr:nvSpPr>
        <xdr:cNvPr id="14" name="角丸四角形 13"/>
        <xdr:cNvSpPr/>
      </xdr:nvSpPr>
      <xdr:spPr>
        <a:xfrm>
          <a:off x="797112" y="11422529"/>
          <a:ext cx="1526241" cy="1157941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755650</xdr:colOff>
      <xdr:row>49</xdr:row>
      <xdr:rowOff>228598</xdr:rowOff>
    </xdr:from>
    <xdr:to>
      <xdr:col>2</xdr:col>
      <xdr:colOff>758825</xdr:colOff>
      <xdr:row>51</xdr:row>
      <xdr:rowOff>228599</xdr:rowOff>
    </xdr:to>
    <xdr:cxnSp macro="">
      <xdr:nvCxnSpPr>
        <xdr:cNvPr id="16" name="カギ線コネクタ 15"/>
        <xdr:cNvCxnSpPr>
          <a:stCxn id="14" idx="2"/>
          <a:endCxn id="13" idx="0"/>
        </xdr:cNvCxnSpPr>
      </xdr:nvCxnSpPr>
      <xdr:spPr>
        <a:xfrm rot="16200000" flipH="1">
          <a:off x="1328737" y="13060361"/>
          <a:ext cx="457201" cy="3175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69850</xdr:colOff>
      <xdr:row>52</xdr:row>
      <xdr:rowOff>1</xdr:rowOff>
    </xdr:from>
    <xdr:to>
      <xdr:col>6</xdr:col>
      <xdr:colOff>732122</xdr:colOff>
      <xdr:row>67</xdr:row>
      <xdr:rowOff>1</xdr:rowOff>
    </xdr:to>
    <xdr:sp macro="" textlink="">
      <xdr:nvSpPr>
        <xdr:cNvPr id="18" name="角丸四角形 17"/>
        <xdr:cNvSpPr/>
      </xdr:nvSpPr>
      <xdr:spPr>
        <a:xfrm flipH="1">
          <a:off x="2387600" y="13290551"/>
          <a:ext cx="3227672" cy="34290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■設備種類：「ボイラー」「給湯器（加熱式）」「給湯器（</a:t>
          </a:r>
          <a:r>
            <a:rPr kumimoji="1" lang="en-US" altLang="ja-JP" sz="1100">
              <a:solidFill>
                <a:sysClr val="windowText" lastClr="000000"/>
              </a:solidFill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</a:rPr>
            <a:t>、ヒートポンプ式）」のいずれかを選択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■導入年度：「給湯器（</a:t>
          </a:r>
          <a:r>
            <a:rPr kumimoji="1" lang="en-US" altLang="ja-JP" sz="1100">
              <a:solidFill>
                <a:sysClr val="windowText" lastClr="000000"/>
              </a:solidFill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</a:rPr>
            <a:t>）」の場合に導入年度を記載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・ボイラー・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給湯器（加熱式）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燃料の燃焼等により加熱する方式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給湯器（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ヒートポンプによる熱交換で得た熱を用いて加熱する方式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45</xdr:row>
      <xdr:rowOff>3394</xdr:rowOff>
    </xdr:from>
    <xdr:to>
      <xdr:col>6</xdr:col>
      <xdr:colOff>0</xdr:colOff>
      <xdr:row>50</xdr:row>
      <xdr:rowOff>-1</xdr:rowOff>
    </xdr:to>
    <xdr:sp macro="" textlink="">
      <xdr:nvSpPr>
        <xdr:cNvPr id="19" name="角丸四角形 18"/>
        <xdr:cNvSpPr/>
      </xdr:nvSpPr>
      <xdr:spPr>
        <a:xfrm>
          <a:off x="3100294" y="11425923"/>
          <a:ext cx="1792941" cy="1154547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895350</xdr:colOff>
      <xdr:row>49</xdr:row>
      <xdr:rowOff>228599</xdr:rowOff>
    </xdr:from>
    <xdr:to>
      <xdr:col>4</xdr:col>
      <xdr:colOff>908986</xdr:colOff>
      <xdr:row>52</xdr:row>
      <xdr:rowOff>1</xdr:rowOff>
    </xdr:to>
    <xdr:cxnSp macro="">
      <xdr:nvCxnSpPr>
        <xdr:cNvPr id="20" name="カギ線コネクタ 19"/>
        <xdr:cNvCxnSpPr>
          <a:stCxn id="19" idx="2"/>
          <a:endCxn id="18" idx="0"/>
        </xdr:cNvCxnSpPr>
      </xdr:nvCxnSpPr>
      <xdr:spPr>
        <a:xfrm rot="16200000" flipH="1">
          <a:off x="3766017" y="13055132"/>
          <a:ext cx="457202" cy="13636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0</xdr:rowOff>
    </xdr:from>
    <xdr:to>
      <xdr:col>8</xdr:col>
      <xdr:colOff>732120</xdr:colOff>
      <xdr:row>56</xdr:row>
      <xdr:rowOff>0</xdr:rowOff>
    </xdr:to>
    <xdr:sp macro="" textlink="">
      <xdr:nvSpPr>
        <xdr:cNvPr id="30" name="角丸四角形 29"/>
        <xdr:cNvSpPr/>
      </xdr:nvSpPr>
      <xdr:spPr>
        <a:xfrm flipH="1">
          <a:off x="5670176" y="13043647"/>
          <a:ext cx="1509062" cy="926353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■燃料種類：燃料の種類を選択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6792</xdr:colOff>
      <xdr:row>45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31" name="角丸四角形 30"/>
        <xdr:cNvSpPr/>
      </xdr:nvSpPr>
      <xdr:spPr>
        <a:xfrm>
          <a:off x="4900027" y="11422529"/>
          <a:ext cx="770149" cy="1157942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391866</xdr:colOff>
      <xdr:row>50</xdr:row>
      <xdr:rowOff>0</xdr:rowOff>
    </xdr:from>
    <xdr:to>
      <xdr:col>7</xdr:col>
      <xdr:colOff>754530</xdr:colOff>
      <xdr:row>52</xdr:row>
      <xdr:rowOff>0</xdr:rowOff>
    </xdr:to>
    <xdr:cxnSp macro="">
      <xdr:nvCxnSpPr>
        <xdr:cNvPr id="32" name="カギ線コネクタ 31"/>
        <xdr:cNvCxnSpPr>
          <a:stCxn id="31" idx="2"/>
          <a:endCxn id="30" idx="0"/>
        </xdr:cNvCxnSpPr>
      </xdr:nvCxnSpPr>
      <xdr:spPr>
        <a:xfrm rot="16200000" flipH="1">
          <a:off x="5623316" y="12242256"/>
          <a:ext cx="463176" cy="1139605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41" name="角丸四角形 40"/>
        <xdr:cNvSpPr/>
      </xdr:nvSpPr>
      <xdr:spPr>
        <a:xfrm flipH="1">
          <a:off x="7194826" y="13202478"/>
          <a:ext cx="3478696" cy="4980609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■定格加熱能力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相当蒸発量：加熱の能力値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■能力単位：能力の単位を選択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t/h…1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時間当たりの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生産量（トン、重量）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※kW…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キロワット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効率：加熱に当たっての効率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効率＝加熱能力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÷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燃料消費量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ヒートポンプは、燃料より集まる熱量が大きいため、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％を超える場合がある。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定格燃料消費量：燃料の値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●仕様が不明な場合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・省エネ診断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で確認が取れた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・省エネルギー法等を順守した資料に基づく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★要点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・根拠に基づいた値を記載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・根拠資料は提出が必要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8</xdr:col>
      <xdr:colOff>776940</xdr:colOff>
      <xdr:row>45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42" name="角丸四角形 41"/>
        <xdr:cNvSpPr/>
      </xdr:nvSpPr>
      <xdr:spPr>
        <a:xfrm>
          <a:off x="7224058" y="11422529"/>
          <a:ext cx="3107765" cy="1157942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193261</xdr:colOff>
      <xdr:row>50</xdr:row>
      <xdr:rowOff>1</xdr:rowOff>
    </xdr:from>
    <xdr:to>
      <xdr:col>11</xdr:col>
      <xdr:colOff>195210</xdr:colOff>
      <xdr:row>52</xdr:row>
      <xdr:rowOff>1</xdr:rowOff>
    </xdr:to>
    <xdr:cxnSp macro="">
      <xdr:nvCxnSpPr>
        <xdr:cNvPr id="43" name="カギ線コネクタ 42"/>
        <xdr:cNvCxnSpPr>
          <a:stCxn id="42" idx="2"/>
          <a:endCxn id="41" idx="0"/>
        </xdr:cNvCxnSpPr>
      </xdr:nvCxnSpPr>
      <xdr:spPr>
        <a:xfrm rot="5400000">
          <a:off x="8708758" y="12975113"/>
          <a:ext cx="452782" cy="1949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</xdr:colOff>
      <xdr:row>33</xdr:row>
      <xdr:rowOff>1</xdr:rowOff>
    </xdr:from>
    <xdr:to>
      <xdr:col>17</xdr:col>
      <xdr:colOff>0</xdr:colOff>
      <xdr:row>37</xdr:row>
      <xdr:rowOff>0</xdr:rowOff>
    </xdr:to>
    <xdr:sp macro="" textlink="">
      <xdr:nvSpPr>
        <xdr:cNvPr id="57" name="角丸四角形 56"/>
        <xdr:cNvSpPr/>
      </xdr:nvSpPr>
      <xdr:spPr>
        <a:xfrm flipH="1">
          <a:off x="9681882" y="8650942"/>
          <a:ext cx="3757706" cy="926352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■負荷率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：使用状況に基づいた負荷率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■年間使用時間：</a:t>
          </a:r>
          <a:r>
            <a:rPr kumimoji="1" lang="ja-JP" altLang="en-US" sz="1100" b="1">
              <a:solidFill>
                <a:sysClr val="windowText" lastClr="000000"/>
              </a:solidFill>
            </a:rPr>
            <a:t>業務実態に基づいた使用時間・日数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42</xdr:row>
      <xdr:rowOff>6792</xdr:rowOff>
    </xdr:from>
    <xdr:to>
      <xdr:col>17</xdr:col>
      <xdr:colOff>0</xdr:colOff>
      <xdr:row>44</xdr:row>
      <xdr:rowOff>0</xdr:rowOff>
    </xdr:to>
    <xdr:sp macro="" textlink="">
      <xdr:nvSpPr>
        <xdr:cNvPr id="58" name="角丸四角形 57"/>
        <xdr:cNvSpPr/>
      </xdr:nvSpPr>
      <xdr:spPr>
        <a:xfrm>
          <a:off x="11108765" y="9994968"/>
          <a:ext cx="1553882" cy="912091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451971</xdr:colOff>
      <xdr:row>37</xdr:row>
      <xdr:rowOff>0</xdr:rowOff>
    </xdr:from>
    <xdr:to>
      <xdr:col>16</xdr:col>
      <xdr:colOff>1</xdr:colOff>
      <xdr:row>42</xdr:row>
      <xdr:rowOff>6792</xdr:rowOff>
    </xdr:to>
    <xdr:cxnSp macro="">
      <xdr:nvCxnSpPr>
        <xdr:cNvPr id="59" name="カギ線コネクタ 58"/>
        <xdr:cNvCxnSpPr>
          <a:stCxn id="58" idx="0"/>
          <a:endCxn id="57" idx="2"/>
        </xdr:cNvCxnSpPr>
      </xdr:nvCxnSpPr>
      <xdr:spPr>
        <a:xfrm rot="16200000" flipV="1">
          <a:off x="11529325" y="9608705"/>
          <a:ext cx="1164733" cy="1101912"/>
        </a:xfrm>
        <a:prstGeom prst="bentConnector3">
          <a:avLst>
            <a:gd name="adj1" fmla="val 50000"/>
          </a:avLst>
        </a:prstGeom>
        <a:ln w="1905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761999</xdr:colOff>
      <xdr:row>33</xdr:row>
      <xdr:rowOff>14941</xdr:rowOff>
    </xdr:from>
    <xdr:to>
      <xdr:col>21</xdr:col>
      <xdr:colOff>747057</xdr:colOff>
      <xdr:row>38</xdr:row>
      <xdr:rowOff>176141</xdr:rowOff>
    </xdr:to>
    <xdr:sp macro="" textlink="">
      <xdr:nvSpPr>
        <xdr:cNvPr id="60" name="テキスト ボックス 59"/>
        <xdr:cNvSpPr txBox="1"/>
      </xdr:nvSpPr>
      <xdr:spPr>
        <a:xfrm>
          <a:off x="14201587" y="8665882"/>
          <a:ext cx="3092823" cy="13191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負荷率・使用時間の確認</a:t>
          </a:r>
          <a:endParaRPr kumimoji="1" lang="en-US" altLang="ja-JP" sz="1100" b="1"/>
        </a:p>
        <a:p>
          <a:r>
            <a:rPr kumimoji="1" lang="ja-JP" altLang="en-US" sz="1100"/>
            <a:t>必要に応じて、</a:t>
          </a:r>
          <a:r>
            <a:rPr kumimoji="1" lang="ja-JP" altLang="en-US" sz="1100" b="1"/>
            <a:t>根拠資料の提出</a:t>
          </a:r>
          <a:r>
            <a:rPr kumimoji="1" lang="ja-JP" altLang="en-US" sz="1100"/>
            <a:t>をお願いする場合や、</a:t>
          </a:r>
          <a:r>
            <a:rPr kumimoji="1" lang="ja-JP" altLang="en-US" sz="1100" b="1"/>
            <a:t>ヒアリング</a:t>
          </a:r>
          <a:r>
            <a:rPr kumimoji="1" lang="ja-JP" altLang="en-US" sz="1100" b="0"/>
            <a:t>、</a:t>
          </a:r>
          <a:r>
            <a:rPr kumimoji="1" lang="ja-JP" altLang="en-US" sz="1100" b="1"/>
            <a:t>現地調査</a:t>
          </a:r>
          <a:r>
            <a:rPr kumimoji="1" lang="ja-JP" altLang="en-US" sz="1100"/>
            <a:t>を実施することがあります。</a:t>
          </a:r>
          <a:endParaRPr kumimoji="1" lang="en-US" altLang="ja-JP" sz="1100"/>
        </a:p>
        <a:p>
          <a:r>
            <a:rPr kumimoji="1" lang="ja-JP" altLang="en-US" sz="1100"/>
            <a:t>あらかじめご了承ください。</a:t>
          </a:r>
        </a:p>
      </xdr:txBody>
    </xdr:sp>
    <xdr:clientData/>
  </xdr:twoCellAnchor>
  <xdr:twoCellAnchor>
    <xdr:from>
      <xdr:col>17</xdr:col>
      <xdr:colOff>0</xdr:colOff>
      <xdr:row>35</xdr:row>
      <xdr:rowOff>0</xdr:rowOff>
    </xdr:from>
    <xdr:to>
      <xdr:col>17</xdr:col>
      <xdr:colOff>761999</xdr:colOff>
      <xdr:row>35</xdr:row>
      <xdr:rowOff>211335</xdr:rowOff>
    </xdr:to>
    <xdr:cxnSp macro="">
      <xdr:nvCxnSpPr>
        <xdr:cNvPr id="64" name="カギ線コネクタ 63"/>
        <xdr:cNvCxnSpPr>
          <a:stCxn id="57" idx="1"/>
          <a:endCxn id="60" idx="1"/>
        </xdr:cNvCxnSpPr>
      </xdr:nvCxnSpPr>
      <xdr:spPr>
        <a:xfrm>
          <a:off x="13439588" y="9114118"/>
          <a:ext cx="761999" cy="211335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0</xdr:rowOff>
    </xdr:from>
    <xdr:to>
      <xdr:col>15</xdr:col>
      <xdr:colOff>0</xdr:colOff>
      <xdr:row>43</xdr:row>
      <xdr:rowOff>224796</xdr:rowOff>
    </xdr:to>
    <xdr:sp macro="" textlink="">
      <xdr:nvSpPr>
        <xdr:cNvPr id="73" name="角丸四角形 72"/>
        <xdr:cNvSpPr/>
      </xdr:nvSpPr>
      <xdr:spPr>
        <a:xfrm>
          <a:off x="13439588" y="9988176"/>
          <a:ext cx="776941" cy="912091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0</xdr:colOff>
      <xdr:row>58</xdr:row>
      <xdr:rowOff>154744</xdr:rowOff>
    </xdr:from>
    <xdr:to>
      <xdr:col>14</xdr:col>
      <xdr:colOff>756478</xdr:colOff>
      <xdr:row>63</xdr:row>
      <xdr:rowOff>0</xdr:rowOff>
    </xdr:to>
    <xdr:cxnSp macro="">
      <xdr:nvCxnSpPr>
        <xdr:cNvPr id="80" name="カギ線コネクタ 79"/>
        <xdr:cNvCxnSpPr>
          <a:stCxn id="41" idx="1"/>
          <a:endCxn id="83" idx="3"/>
        </xdr:cNvCxnSpPr>
      </xdr:nvCxnSpPr>
      <xdr:spPr>
        <a:xfrm flipV="1">
          <a:off x="10673522" y="14715570"/>
          <a:ext cx="756478" cy="977213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756478</xdr:colOff>
      <xdr:row>56</xdr:row>
      <xdr:rowOff>154609</xdr:rowOff>
    </xdr:from>
    <xdr:to>
      <xdr:col>18</xdr:col>
      <xdr:colOff>756478</xdr:colOff>
      <xdr:row>60</xdr:row>
      <xdr:rowOff>154879</xdr:rowOff>
    </xdr:to>
    <xdr:sp macro="" textlink="">
      <xdr:nvSpPr>
        <xdr:cNvPr id="83" name="角丸四角形 82"/>
        <xdr:cNvSpPr/>
      </xdr:nvSpPr>
      <xdr:spPr>
        <a:xfrm flipH="1">
          <a:off x="11430000" y="14262652"/>
          <a:ext cx="3092174" cy="90583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</a:t>
          </a:r>
          <a:r>
            <a:rPr kumimoji="1" lang="ja-JP" altLang="en-US" sz="1100" b="1">
              <a:solidFill>
                <a:srgbClr val="FF0000"/>
              </a:solidFill>
            </a:rPr>
            <a:t>更新前</a:t>
          </a:r>
          <a:r>
            <a:rPr kumimoji="1" lang="ja-JP" altLang="en-US" sz="1100" b="1">
              <a:solidFill>
                <a:sysClr val="windowText" lastClr="000000"/>
              </a:solidFill>
            </a:rPr>
            <a:t>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29</xdr:col>
      <xdr:colOff>0</xdr:colOff>
      <xdr:row>50</xdr:row>
      <xdr:rowOff>0</xdr:rowOff>
    </xdr:to>
    <xdr:sp macro="" textlink="">
      <xdr:nvSpPr>
        <xdr:cNvPr id="86" name="角丸四角形 85"/>
        <xdr:cNvSpPr/>
      </xdr:nvSpPr>
      <xdr:spPr>
        <a:xfrm>
          <a:off x="21171647" y="11422529"/>
          <a:ext cx="2323353" cy="1157942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30</xdr:col>
      <xdr:colOff>768111</xdr:colOff>
      <xdr:row>54</xdr:row>
      <xdr:rowOff>220477</xdr:rowOff>
    </xdr:to>
    <xdr:sp macro="" textlink="">
      <xdr:nvSpPr>
        <xdr:cNvPr id="87" name="角丸四角形 86"/>
        <xdr:cNvSpPr/>
      </xdr:nvSpPr>
      <xdr:spPr>
        <a:xfrm flipH="1">
          <a:off x="19625235" y="13043647"/>
          <a:ext cx="5414817" cy="683654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定格加熱能力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相当蒸発量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能力単位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効率</a:t>
          </a:r>
          <a:r>
            <a:rPr kumimoji="1" lang="ja-JP" altLang="en-US" sz="1100" b="0">
              <a:solidFill>
                <a:sysClr val="windowText" lastClr="000000"/>
              </a:solidFill>
            </a:rPr>
            <a:t>：仕様書に基づいた値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391525</xdr:colOff>
      <xdr:row>54</xdr:row>
      <xdr:rowOff>220477</xdr:rowOff>
    </xdr:from>
    <xdr:to>
      <xdr:col>27</xdr:col>
      <xdr:colOff>392205</xdr:colOff>
      <xdr:row>56</xdr:row>
      <xdr:rowOff>224117</xdr:rowOff>
    </xdr:to>
    <xdr:cxnSp macro="">
      <xdr:nvCxnSpPr>
        <xdr:cNvPr id="88" name="カギ線コネクタ 87"/>
        <xdr:cNvCxnSpPr>
          <a:stCxn id="87" idx="2"/>
          <a:endCxn id="89" idx="0"/>
        </xdr:cNvCxnSpPr>
      </xdr:nvCxnSpPr>
      <xdr:spPr>
        <a:xfrm rot="16200000" flipH="1">
          <a:off x="22099575" y="13960369"/>
          <a:ext cx="466816" cy="680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56</xdr:row>
      <xdr:rowOff>224117</xdr:rowOff>
    </xdr:from>
    <xdr:to>
      <xdr:col>30</xdr:col>
      <xdr:colOff>0</xdr:colOff>
      <xdr:row>60</xdr:row>
      <xdr:rowOff>221400</xdr:rowOff>
    </xdr:to>
    <xdr:sp macro="" textlink="">
      <xdr:nvSpPr>
        <xdr:cNvPr id="89" name="角丸四角形 88"/>
        <xdr:cNvSpPr/>
      </xdr:nvSpPr>
      <xdr:spPr>
        <a:xfrm flipH="1">
          <a:off x="20394706" y="14194117"/>
          <a:ext cx="3877235" cy="92363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提出書類（必須）：</a:t>
          </a:r>
          <a:r>
            <a:rPr kumimoji="1" lang="ja-JP" altLang="en-US" sz="1100" b="1">
              <a:solidFill>
                <a:srgbClr val="FF0000"/>
              </a:solidFill>
            </a:rPr>
            <a:t>更新後</a:t>
          </a:r>
          <a:r>
            <a:rPr kumimoji="1" lang="ja-JP" altLang="en-US" sz="1100" b="1">
              <a:solidFill>
                <a:sysClr val="windowText" lastClr="000000"/>
              </a:solidFill>
            </a:rPr>
            <a:t>設備の「仕様書、カタログ」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（算定に用いた値が確認できる資料）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391525</xdr:colOff>
      <xdr:row>50</xdr:row>
      <xdr:rowOff>1</xdr:rowOff>
    </xdr:from>
    <xdr:to>
      <xdr:col>27</xdr:col>
      <xdr:colOff>392206</xdr:colOff>
      <xdr:row>52</xdr:row>
      <xdr:rowOff>1</xdr:rowOff>
    </xdr:to>
    <xdr:cxnSp macro="">
      <xdr:nvCxnSpPr>
        <xdr:cNvPr id="92" name="カギ線コネクタ 91"/>
        <xdr:cNvCxnSpPr>
          <a:stCxn id="86" idx="2"/>
          <a:endCxn id="87" idx="0"/>
        </xdr:cNvCxnSpPr>
      </xdr:nvCxnSpPr>
      <xdr:spPr>
        <a:xfrm rot="5400000">
          <a:off x="22101396" y="12811719"/>
          <a:ext cx="463176" cy="681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99" name="テキスト ボックス 98"/>
        <xdr:cNvSpPr txBox="1"/>
      </xdr:nvSpPr>
      <xdr:spPr>
        <a:xfrm>
          <a:off x="273050" y="2857500"/>
          <a:ext cx="6159500" cy="9207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を参考に設備更新による削減量を算定してください。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↓ハイパーリンク（クリックで記入例へ移動します。）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52293</xdr:colOff>
      <xdr:row>14</xdr:row>
      <xdr:rowOff>2715</xdr:rowOff>
    </xdr:from>
    <xdr:to>
      <xdr:col>12</xdr:col>
      <xdr:colOff>455995</xdr:colOff>
      <xdr:row>17</xdr:row>
      <xdr:rowOff>0</xdr:rowOff>
    </xdr:to>
    <xdr:grpSp>
      <xdr:nvGrpSpPr>
        <xdr:cNvPr id="100" name="グループ化 99"/>
        <xdr:cNvGrpSpPr/>
      </xdr:nvGrpSpPr>
      <xdr:grpSpPr>
        <a:xfrm>
          <a:off x="6484843" y="3552365"/>
          <a:ext cx="3502502" cy="683085"/>
          <a:chOff x="7808257" y="2518206"/>
          <a:chExt cx="2783012" cy="628408"/>
        </a:xfrm>
      </xdr:grpSpPr>
      <xdr:grpSp>
        <xdr:nvGrpSpPr>
          <xdr:cNvPr id="101" name="グループ化 100"/>
          <xdr:cNvGrpSpPr/>
        </xdr:nvGrpSpPr>
        <xdr:grpSpPr>
          <a:xfrm>
            <a:off x="7808257" y="2518206"/>
            <a:ext cx="2783012" cy="628408"/>
            <a:chOff x="17123227" y="2975963"/>
            <a:chExt cx="2793020" cy="616323"/>
          </a:xfrm>
        </xdr:grpSpPr>
        <xdr:sp macro="" textlink="">
          <xdr:nvSpPr>
            <xdr:cNvPr id="103" name="テキスト ボックス 102"/>
            <xdr:cNvSpPr txBox="1"/>
          </xdr:nvSpPr>
          <xdr:spPr>
            <a:xfrm>
              <a:off x="17123227" y="2975963"/>
              <a:ext cx="2793020" cy="61632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●凡例</a:t>
              </a:r>
            </a:p>
          </xdr:txBody>
        </xdr:sp>
        <xdr:sp macro="" textlink="">
          <xdr:nvSpPr>
            <xdr:cNvPr id="104" name="テキスト ボックス 103"/>
            <xdr:cNvSpPr txBox="1"/>
          </xdr:nvSpPr>
          <xdr:spPr>
            <a:xfrm>
              <a:off x="17351828" y="3251553"/>
              <a:ext cx="772886" cy="286305"/>
            </a:xfrm>
            <a:prstGeom prst="rect">
              <a:avLst/>
            </a:prstGeom>
            <a:solidFill>
              <a:srgbClr val="FFF2CC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入力セル</a:t>
              </a:r>
            </a:p>
          </xdr:txBody>
        </xdr:sp>
        <xdr:sp macro="" textlink="">
          <xdr:nvSpPr>
            <xdr:cNvPr id="105" name="テキスト ボックス 104"/>
            <xdr:cNvSpPr txBox="1"/>
          </xdr:nvSpPr>
          <xdr:spPr>
            <a:xfrm>
              <a:off x="18196139" y="3251552"/>
              <a:ext cx="772886" cy="286306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選択セル</a:t>
              </a:r>
            </a:p>
          </xdr:txBody>
        </xdr:sp>
      </xdr:grpSp>
      <xdr:sp macro="" textlink="">
        <xdr:nvSpPr>
          <xdr:cNvPr id="102" name="テキスト ボックス 101"/>
          <xdr:cNvSpPr txBox="1"/>
        </xdr:nvSpPr>
        <xdr:spPr>
          <a:xfrm>
            <a:off x="9717741" y="2804307"/>
            <a:ext cx="770117" cy="28937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入力不可</a:t>
            </a:r>
          </a:p>
        </xdr:txBody>
      </xdr:sp>
    </xdr:grpSp>
    <xdr:clientData/>
  </xdr:twoCellAnchor>
  <xdr:twoCellAnchor>
    <xdr:from>
      <xdr:col>22</xdr:col>
      <xdr:colOff>403411</xdr:colOff>
      <xdr:row>31</xdr:row>
      <xdr:rowOff>216648</xdr:rowOff>
    </xdr:from>
    <xdr:to>
      <xdr:col>35</xdr:col>
      <xdr:colOff>0</xdr:colOff>
      <xdr:row>40</xdr:row>
      <xdr:rowOff>0</xdr:rowOff>
    </xdr:to>
    <xdr:sp macro="" textlink="">
      <xdr:nvSpPr>
        <xdr:cNvPr id="44" name="角丸四角形 43"/>
        <xdr:cNvSpPr/>
      </xdr:nvSpPr>
      <xdr:spPr>
        <a:xfrm flipH="1">
          <a:off x="17727705" y="8269942"/>
          <a:ext cx="10428942" cy="200211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■記入例の算定パターン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ja-JP" altLang="en-US" sz="1100" b="1">
              <a:solidFill>
                <a:srgbClr val="0070C0"/>
              </a:solidFill>
            </a:rPr>
            <a:t>同等</a:t>
          </a:r>
          <a:r>
            <a:rPr kumimoji="1" lang="ja-JP" altLang="en-US" sz="1100">
              <a:solidFill>
                <a:sysClr val="windowText" lastClr="000000"/>
              </a:solidFill>
            </a:rPr>
            <a:t>能力・同台数での更新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「ボイラー（都市ガス）→ボイラー（都市ガス）への更新」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同等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能力・同台数での更新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「給湯器（加熱式、都市ガス）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給湯器（加熱式、都市ガス）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台数変化、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能力削減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のある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更新：「給湯器（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→給湯器（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1×40.0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6×6.0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で更新後の能力削減）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燃料転換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のある更新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「ボイラー（灯油）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→ボイラー（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LPG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機種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台数変化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設備種類変更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燃料転換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、能力削減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のある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更新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ボイラー（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LPG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）→給湯器（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）への更新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26.5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7.2×3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で更新後の能力削減）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388471</xdr:colOff>
      <xdr:row>37</xdr:row>
      <xdr:rowOff>1</xdr:rowOff>
    </xdr:from>
    <xdr:to>
      <xdr:col>14</xdr:col>
      <xdr:colOff>451970</xdr:colOff>
      <xdr:row>42</xdr:row>
      <xdr:rowOff>1</xdr:rowOff>
    </xdr:to>
    <xdr:cxnSp macro="">
      <xdr:nvCxnSpPr>
        <xdr:cNvPr id="61" name="カギ線コネクタ 60"/>
        <xdr:cNvCxnSpPr>
          <a:stCxn id="73" idx="0"/>
          <a:endCxn id="57" idx="2"/>
        </xdr:cNvCxnSpPr>
      </xdr:nvCxnSpPr>
      <xdr:spPr>
        <a:xfrm rot="5400000" flipH="1" flipV="1">
          <a:off x="10950015" y="10124516"/>
          <a:ext cx="1157941" cy="63499"/>
        </a:xfrm>
        <a:prstGeom prst="bentConnector3">
          <a:avLst>
            <a:gd name="adj1" fmla="val 50000"/>
          </a:avLst>
        </a:prstGeom>
        <a:ln w="1905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38654</xdr:colOff>
      <xdr:row>52</xdr:row>
      <xdr:rowOff>1</xdr:rowOff>
    </xdr:from>
    <xdr:to>
      <xdr:col>20</xdr:col>
      <xdr:colOff>11043</xdr:colOff>
      <xdr:row>55</xdr:row>
      <xdr:rowOff>1</xdr:rowOff>
    </xdr:to>
    <xdr:sp macro="" textlink="">
      <xdr:nvSpPr>
        <xdr:cNvPr id="45" name="角丸四角形 44"/>
        <xdr:cNvSpPr/>
      </xdr:nvSpPr>
      <xdr:spPr>
        <a:xfrm flipH="1">
          <a:off x="10712176" y="13202479"/>
          <a:ext cx="4610650" cy="679174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■負荷率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＝</a:t>
          </a:r>
          <a:r>
            <a:rPr kumimoji="1" lang="ja-JP" altLang="en-US" sz="1100" u="sng">
              <a:solidFill>
                <a:sysClr val="windowText" lastClr="000000"/>
              </a:solidFill>
            </a:rPr>
            <a:t>年間の燃料消費量（実績）</a:t>
          </a:r>
          <a:r>
            <a:rPr kumimoji="1" lang="en-US" altLang="ja-JP" sz="1100">
              <a:solidFill>
                <a:sysClr val="windowText" lastClr="000000"/>
              </a:solidFill>
            </a:rPr>
            <a:t>÷</a:t>
          </a:r>
          <a:r>
            <a:rPr kumimoji="1" lang="ja-JP" altLang="en-US" sz="1100">
              <a:solidFill>
                <a:sysClr val="windowText" lastClr="000000"/>
              </a:solidFill>
            </a:rPr>
            <a:t>定格燃料消費量</a:t>
          </a:r>
          <a:r>
            <a:rPr kumimoji="1" lang="en-US" altLang="ja-JP" sz="1100">
              <a:solidFill>
                <a:sysClr val="windowText" lastClr="000000"/>
              </a:solidFill>
            </a:rPr>
            <a:t>÷</a:t>
          </a:r>
          <a:r>
            <a:rPr kumimoji="1" lang="ja-JP" altLang="en-US" sz="1100">
              <a:solidFill>
                <a:sysClr val="windowText" lastClr="000000"/>
              </a:solidFill>
            </a:rPr>
            <a:t>年使用時間</a:t>
          </a:r>
          <a:r>
            <a:rPr kumimoji="1" lang="en-US" altLang="ja-JP" sz="1100">
              <a:solidFill>
                <a:sysClr val="windowText" lastClr="000000"/>
              </a:solidFill>
            </a:rPr>
            <a:t>÷</a:t>
          </a:r>
          <a:r>
            <a:rPr kumimoji="1" lang="ja-JP" altLang="en-US" sz="1100">
              <a:solidFill>
                <a:sysClr val="windowText" lastClr="000000"/>
              </a:solidFill>
            </a:rPr>
            <a:t>台数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6792</xdr:colOff>
      <xdr:row>45</xdr:row>
      <xdr:rowOff>0</xdr:rowOff>
    </xdr:from>
    <xdr:to>
      <xdr:col>15</xdr:col>
      <xdr:colOff>0</xdr:colOff>
      <xdr:row>50</xdr:row>
      <xdr:rowOff>0</xdr:rowOff>
    </xdr:to>
    <xdr:sp macro="" textlink="">
      <xdr:nvSpPr>
        <xdr:cNvPr id="46" name="角丸四角形 45"/>
        <xdr:cNvSpPr/>
      </xdr:nvSpPr>
      <xdr:spPr>
        <a:xfrm>
          <a:off x="10680314" y="11617739"/>
          <a:ext cx="766251" cy="1131957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389918</xdr:colOff>
      <xdr:row>49</xdr:row>
      <xdr:rowOff>226391</xdr:rowOff>
    </xdr:from>
    <xdr:to>
      <xdr:col>17</xdr:col>
      <xdr:colOff>24849</xdr:colOff>
      <xdr:row>52</xdr:row>
      <xdr:rowOff>0</xdr:rowOff>
    </xdr:to>
    <xdr:cxnSp macro="">
      <xdr:nvCxnSpPr>
        <xdr:cNvPr id="47" name="カギ線コネクタ 46"/>
        <xdr:cNvCxnSpPr>
          <a:stCxn id="46" idx="2"/>
          <a:endCxn id="45" idx="0"/>
        </xdr:cNvCxnSpPr>
      </xdr:nvCxnSpPr>
      <xdr:spPr>
        <a:xfrm rot="16200000" flipH="1">
          <a:off x="11814079" y="11999056"/>
          <a:ext cx="452783" cy="1954061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21</xdr:col>
      <xdr:colOff>0</xdr:colOff>
      <xdr:row>8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7200900" y="1739900"/>
          <a:ext cx="7531100" cy="228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エネルギーの削減に繋がらないため、定格出力の増加は原則認められません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698498</xdr:colOff>
      <xdr:row>13</xdr:row>
      <xdr:rowOff>0</xdr:rowOff>
    </xdr:from>
    <xdr:to>
      <xdr:col>32</xdr:col>
      <xdr:colOff>698499</xdr:colOff>
      <xdr:row>15</xdr:row>
      <xdr:rowOff>0</xdr:rowOff>
    </xdr:to>
    <xdr:grpSp>
      <xdr:nvGrpSpPr>
        <xdr:cNvPr id="5" name="グループ化 4"/>
        <xdr:cNvGrpSpPr/>
      </xdr:nvGrpSpPr>
      <xdr:grpSpPr>
        <a:xfrm>
          <a:off x="18218148" y="3321050"/>
          <a:ext cx="4171951" cy="457200"/>
          <a:chOff x="13886238" y="4760686"/>
          <a:chExt cx="3701571" cy="9144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13886239" y="4760686"/>
            <a:ext cx="1855313" cy="4572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(E=bnrt)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5728573" y="4760686"/>
            <a:ext cx="1859236" cy="4572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(E'=b'n'r't')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13886238" y="5217886"/>
            <a:ext cx="1855315" cy="4572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(C=E×0.000431)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5728573" y="5217886"/>
            <a:ext cx="1859236" cy="4572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(C'=E'×0.000431)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</xdr:col>
      <xdr:colOff>0</xdr:colOff>
      <xdr:row>9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20" name="テキスト ボックス 19"/>
        <xdr:cNvSpPr txBox="1"/>
      </xdr:nvSpPr>
      <xdr:spPr>
        <a:xfrm>
          <a:off x="273050" y="2400300"/>
          <a:ext cx="6229350" cy="9207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を参考に設備更新による削減量を算定してください。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↓ハイパーリンク（クリックで記入例へ移動します。）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16</xdr:col>
      <xdr:colOff>37642</xdr:colOff>
      <xdr:row>14</xdr:row>
      <xdr:rowOff>225886</xdr:rowOff>
    </xdr:to>
    <xdr:grpSp>
      <xdr:nvGrpSpPr>
        <xdr:cNvPr id="21" name="グループ化 20"/>
        <xdr:cNvGrpSpPr/>
      </xdr:nvGrpSpPr>
      <xdr:grpSpPr>
        <a:xfrm>
          <a:off x="7200900" y="3092450"/>
          <a:ext cx="3498392" cy="683086"/>
          <a:chOff x="7808257" y="2518206"/>
          <a:chExt cx="2783012" cy="628408"/>
        </a:xfrm>
      </xdr:grpSpPr>
      <xdr:grpSp>
        <xdr:nvGrpSpPr>
          <xdr:cNvPr id="22" name="グループ化 21"/>
          <xdr:cNvGrpSpPr/>
        </xdr:nvGrpSpPr>
        <xdr:grpSpPr>
          <a:xfrm>
            <a:off x="7808257" y="2518206"/>
            <a:ext cx="2783012" cy="628408"/>
            <a:chOff x="17123227" y="2975963"/>
            <a:chExt cx="2793020" cy="61632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17123227" y="2975963"/>
              <a:ext cx="2793020" cy="61632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●凡例</a:t>
              </a:r>
            </a:p>
          </xdr:txBody>
        </xdr:sp>
        <xdr:sp macro="" textlink="">
          <xdr:nvSpPr>
            <xdr:cNvPr id="25" name="テキスト ボックス 24"/>
            <xdr:cNvSpPr txBox="1"/>
          </xdr:nvSpPr>
          <xdr:spPr>
            <a:xfrm>
              <a:off x="17351828" y="3251553"/>
              <a:ext cx="772886" cy="286305"/>
            </a:xfrm>
            <a:prstGeom prst="rect">
              <a:avLst/>
            </a:prstGeom>
            <a:solidFill>
              <a:srgbClr val="FFF2CC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入力セル</a:t>
              </a:r>
            </a:p>
          </xdr:txBody>
        </xdr:sp>
        <xdr:sp macro="" textlink="">
          <xdr:nvSpPr>
            <xdr:cNvPr id="28" name="テキスト ボックス 27"/>
            <xdr:cNvSpPr txBox="1"/>
          </xdr:nvSpPr>
          <xdr:spPr>
            <a:xfrm>
              <a:off x="18196139" y="3251552"/>
              <a:ext cx="772886" cy="286306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選択セル</a:t>
              </a:r>
            </a:p>
          </xdr:txBody>
        </xdr:sp>
      </xdr:grpSp>
      <xdr:sp macro="" textlink="">
        <xdr:nvSpPr>
          <xdr:cNvPr id="23" name="テキスト ボックス 22"/>
          <xdr:cNvSpPr txBox="1"/>
        </xdr:nvSpPr>
        <xdr:spPr>
          <a:xfrm>
            <a:off x="9717741" y="2804307"/>
            <a:ext cx="770117" cy="28937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入力不可</a:t>
            </a:r>
          </a:p>
        </xdr:txBody>
      </xdr:sp>
    </xdr:grpSp>
    <xdr:clientData/>
  </xdr:twoCellAnchor>
  <xdr:twoCellAnchor>
    <xdr:from>
      <xdr:col>1</xdr:col>
      <xdr:colOff>522941</xdr:colOff>
      <xdr:row>54</xdr:row>
      <xdr:rowOff>0</xdr:rowOff>
    </xdr:from>
    <xdr:to>
      <xdr:col>3</xdr:col>
      <xdr:colOff>0</xdr:colOff>
      <xdr:row>57</xdr:row>
      <xdr:rowOff>41971</xdr:rowOff>
    </xdr:to>
    <xdr:sp macro="" textlink="">
      <xdr:nvSpPr>
        <xdr:cNvPr id="29" name="角丸四角形 28"/>
        <xdr:cNvSpPr/>
      </xdr:nvSpPr>
      <xdr:spPr>
        <a:xfrm flipH="1">
          <a:off x="799353" y="14433176"/>
          <a:ext cx="1516529" cy="736736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必要な記載：</a:t>
          </a:r>
          <a:r>
            <a:rPr kumimoji="1" lang="ja-JP" altLang="en-US" sz="1100">
              <a:solidFill>
                <a:sysClr val="windowText" lastClr="000000"/>
              </a:solidFill>
            </a:rPr>
            <a:t>型番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</xdr:colOff>
      <xdr:row>49</xdr:row>
      <xdr:rowOff>0</xdr:rowOff>
    </xdr:from>
    <xdr:to>
      <xdr:col>3</xdr:col>
      <xdr:colOff>1</xdr:colOff>
      <xdr:row>52</xdr:row>
      <xdr:rowOff>0</xdr:rowOff>
    </xdr:to>
    <xdr:sp macro="" textlink="">
      <xdr:nvSpPr>
        <xdr:cNvPr id="30" name="角丸四角形 29"/>
        <xdr:cNvSpPr/>
      </xdr:nvSpPr>
      <xdr:spPr>
        <a:xfrm>
          <a:off x="1045883" y="12812059"/>
          <a:ext cx="1270000" cy="694765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511735</xdr:colOff>
      <xdr:row>52</xdr:row>
      <xdr:rowOff>0</xdr:rowOff>
    </xdr:from>
    <xdr:to>
      <xdr:col>2</xdr:col>
      <xdr:colOff>635001</xdr:colOff>
      <xdr:row>54</xdr:row>
      <xdr:rowOff>0</xdr:rowOff>
    </xdr:to>
    <xdr:cxnSp macro="">
      <xdr:nvCxnSpPr>
        <xdr:cNvPr id="31" name="カギ線コネクタ 30"/>
        <xdr:cNvCxnSpPr>
          <a:stCxn id="30" idx="2"/>
          <a:endCxn id="29" idx="0"/>
        </xdr:cNvCxnSpPr>
      </xdr:nvCxnSpPr>
      <xdr:spPr>
        <a:xfrm rot="5400000">
          <a:off x="1156074" y="13908367"/>
          <a:ext cx="926352" cy="123266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695885</xdr:colOff>
      <xdr:row>53</xdr:row>
      <xdr:rowOff>228196</xdr:rowOff>
    </xdr:from>
    <xdr:to>
      <xdr:col>8</xdr:col>
      <xdr:colOff>508000</xdr:colOff>
      <xdr:row>65</xdr:row>
      <xdr:rowOff>1</xdr:rowOff>
    </xdr:to>
    <xdr:sp macro="" textlink="">
      <xdr:nvSpPr>
        <xdr:cNvPr id="32" name="角丸四角形 31"/>
        <xdr:cNvSpPr/>
      </xdr:nvSpPr>
      <xdr:spPr>
        <a:xfrm flipH="1">
          <a:off x="3011767" y="13966608"/>
          <a:ext cx="3323292" cy="2550864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■規格：電動機（モーター）の規格を選択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IE1…</a:t>
          </a:r>
          <a:r>
            <a:rPr kumimoji="1" lang="ja-JP" altLang="en-US" sz="1100">
              <a:solidFill>
                <a:sysClr val="windowText" lastClr="000000"/>
              </a:solidFill>
            </a:rPr>
            <a:t>標準効率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IE2…</a:t>
          </a:r>
          <a:r>
            <a:rPr kumimoji="1" lang="ja-JP" altLang="en-US" sz="1100">
              <a:solidFill>
                <a:sysClr val="windowText" lastClr="000000"/>
              </a:solidFill>
            </a:rPr>
            <a:t>高効率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IE3…</a:t>
          </a:r>
          <a:r>
            <a:rPr kumimoji="1" lang="ja-JP" altLang="en-US" sz="1100">
              <a:solidFill>
                <a:sysClr val="windowText" lastClr="000000"/>
              </a:solidFill>
            </a:rPr>
            <a:t>プレミアム効率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IE4…</a:t>
          </a:r>
          <a:r>
            <a:rPr kumimoji="1" lang="ja-JP" altLang="en-US" sz="1100">
              <a:solidFill>
                <a:sysClr val="windowText" lastClr="000000"/>
              </a:solidFill>
            </a:rPr>
            <a:t>スーパープレミアム効率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JIS C 4034-30:2011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規定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■定格出力、極数：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仕様書等に基づいた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値・極数を選択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33" name="角丸四角形 32"/>
        <xdr:cNvSpPr/>
      </xdr:nvSpPr>
      <xdr:spPr>
        <a:xfrm>
          <a:off x="3018118" y="12812059"/>
          <a:ext cx="2106706" cy="694765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351118</xdr:colOff>
      <xdr:row>52</xdr:row>
      <xdr:rowOff>0</xdr:rowOff>
    </xdr:from>
    <xdr:to>
      <xdr:col>6</xdr:col>
      <xdr:colOff>250825</xdr:colOff>
      <xdr:row>53</xdr:row>
      <xdr:rowOff>228196</xdr:rowOff>
    </xdr:to>
    <xdr:cxnSp macro="">
      <xdr:nvCxnSpPr>
        <xdr:cNvPr id="34" name="カギ線コネクタ 33"/>
        <xdr:cNvCxnSpPr>
          <a:stCxn id="33" idx="2"/>
          <a:endCxn id="32" idx="0"/>
        </xdr:cNvCxnSpPr>
      </xdr:nvCxnSpPr>
      <xdr:spPr>
        <a:xfrm rot="16200000" flipH="1">
          <a:off x="4142550" y="13435745"/>
          <a:ext cx="459784" cy="601942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307958</xdr:colOff>
      <xdr:row>40</xdr:row>
      <xdr:rowOff>0</xdr:rowOff>
    </xdr:from>
    <xdr:to>
      <xdr:col>15</xdr:col>
      <xdr:colOff>0</xdr:colOff>
      <xdr:row>43</xdr:row>
      <xdr:rowOff>25400</xdr:rowOff>
    </xdr:to>
    <xdr:sp macro="" textlink="">
      <xdr:nvSpPr>
        <xdr:cNvPr id="35" name="角丸四角形 34"/>
        <xdr:cNvSpPr/>
      </xdr:nvSpPr>
      <xdr:spPr>
        <a:xfrm flipH="1">
          <a:off x="6111858" y="9950450"/>
          <a:ext cx="3851292" cy="8509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■年間使用時間：</a:t>
          </a:r>
          <a:r>
            <a:rPr kumimoji="1" lang="ja-JP" altLang="en-US" sz="1100" b="1">
              <a:solidFill>
                <a:sysClr val="windowText" lastClr="000000"/>
              </a:solidFill>
            </a:rPr>
            <a:t>業務実態に基づいた稼働時間・日数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日稼働時間＝一日の使用時間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×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負荷率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13</xdr:col>
      <xdr:colOff>0</xdr:colOff>
      <xdr:row>47</xdr:row>
      <xdr:rowOff>224797</xdr:rowOff>
    </xdr:to>
    <xdr:sp macro="" textlink="">
      <xdr:nvSpPr>
        <xdr:cNvPr id="37" name="角丸四角形 36"/>
        <xdr:cNvSpPr/>
      </xdr:nvSpPr>
      <xdr:spPr>
        <a:xfrm>
          <a:off x="7933765" y="11661588"/>
          <a:ext cx="1367117" cy="912091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682624</xdr:colOff>
      <xdr:row>43</xdr:row>
      <xdr:rowOff>25401</xdr:rowOff>
    </xdr:from>
    <xdr:to>
      <xdr:col>12</xdr:col>
      <xdr:colOff>150803</xdr:colOff>
      <xdr:row>46</xdr:row>
      <xdr:rowOff>1</xdr:rowOff>
    </xdr:to>
    <xdr:cxnSp macro="">
      <xdr:nvCxnSpPr>
        <xdr:cNvPr id="39" name="カギ線コネクタ 38"/>
        <xdr:cNvCxnSpPr>
          <a:stCxn id="37" idx="0"/>
          <a:endCxn id="35" idx="2"/>
        </xdr:cNvCxnSpPr>
      </xdr:nvCxnSpPr>
      <xdr:spPr>
        <a:xfrm rot="5400000" flipH="1" flipV="1">
          <a:off x="7630314" y="11054561"/>
          <a:ext cx="660400" cy="153979"/>
        </a:xfrm>
        <a:prstGeom prst="bentConnector3">
          <a:avLst>
            <a:gd name="adj1" fmla="val 50000"/>
          </a:avLst>
        </a:prstGeom>
        <a:ln w="1905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40</xdr:row>
      <xdr:rowOff>0</xdr:rowOff>
    </xdr:from>
    <xdr:to>
      <xdr:col>21</xdr:col>
      <xdr:colOff>208430</xdr:colOff>
      <xdr:row>44</xdr:row>
      <xdr:rowOff>123847</xdr:rowOff>
    </xdr:to>
    <xdr:sp macro="" textlink="">
      <xdr:nvSpPr>
        <xdr:cNvPr id="46" name="テキスト ボックス 45"/>
        <xdr:cNvSpPr txBox="1"/>
      </xdr:nvSpPr>
      <xdr:spPr>
        <a:xfrm>
          <a:off x="10661650" y="9950450"/>
          <a:ext cx="4272430" cy="11779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使用時間の確認</a:t>
          </a:r>
          <a:endParaRPr kumimoji="1" lang="en-US" altLang="ja-JP" sz="1100" b="1"/>
        </a:p>
        <a:p>
          <a:r>
            <a:rPr kumimoji="1" lang="ja-JP" altLang="en-US" sz="1100"/>
            <a:t>必要に応じて、稼働時間の</a:t>
          </a:r>
          <a:r>
            <a:rPr kumimoji="1" lang="ja-JP" altLang="en-US" sz="1100" b="1"/>
            <a:t>根拠資料の提出</a:t>
          </a:r>
          <a:r>
            <a:rPr kumimoji="1" lang="ja-JP" altLang="en-US" sz="1100"/>
            <a:t>をお願いする場合や、</a:t>
          </a:r>
          <a:r>
            <a:rPr kumimoji="1" lang="ja-JP" altLang="en-US" sz="1100" b="1"/>
            <a:t>ヒアリング</a:t>
          </a:r>
          <a:r>
            <a:rPr kumimoji="1" lang="ja-JP" altLang="en-US" sz="1100" b="0"/>
            <a:t>、</a:t>
          </a:r>
          <a:r>
            <a:rPr kumimoji="1" lang="ja-JP" altLang="en-US" sz="1100" b="1"/>
            <a:t>現地調査</a:t>
          </a:r>
          <a:r>
            <a:rPr kumimoji="1" lang="ja-JP" altLang="en-US" sz="1100"/>
            <a:t>を実施することがあります。</a:t>
          </a:r>
          <a:endParaRPr kumimoji="1" lang="en-US" altLang="ja-JP" sz="1100"/>
        </a:p>
        <a:p>
          <a:r>
            <a:rPr kumimoji="1" lang="ja-JP" altLang="en-US" sz="1100"/>
            <a:t>あらかじめご了承ください。</a:t>
          </a:r>
        </a:p>
      </xdr:txBody>
    </xdr:sp>
    <xdr:clientData/>
  </xdr:twoCellAnchor>
  <xdr:twoCellAnchor>
    <xdr:from>
      <xdr:col>15</xdr:col>
      <xdr:colOff>0</xdr:colOff>
      <xdr:row>41</xdr:row>
      <xdr:rowOff>57150</xdr:rowOff>
    </xdr:from>
    <xdr:to>
      <xdr:col>16</xdr:col>
      <xdr:colOff>0</xdr:colOff>
      <xdr:row>41</xdr:row>
      <xdr:rowOff>220674</xdr:rowOff>
    </xdr:to>
    <xdr:cxnSp macro="">
      <xdr:nvCxnSpPr>
        <xdr:cNvPr id="47" name="カギ線コネクタ 46"/>
        <xdr:cNvCxnSpPr>
          <a:stCxn id="35" idx="1"/>
          <a:endCxn id="46" idx="1"/>
        </xdr:cNvCxnSpPr>
      </xdr:nvCxnSpPr>
      <xdr:spPr>
        <a:xfrm>
          <a:off x="9963150" y="10375900"/>
          <a:ext cx="698500" cy="163524"/>
        </a:xfrm>
        <a:prstGeom prst="bentConnector3">
          <a:avLst>
            <a:gd name="adj1" fmla="val 50000"/>
          </a:avLst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49</xdr:row>
      <xdr:rowOff>0</xdr:rowOff>
    </xdr:from>
    <xdr:to>
      <xdr:col>11</xdr:col>
      <xdr:colOff>1</xdr:colOff>
      <xdr:row>52</xdr:row>
      <xdr:rowOff>0</xdr:rowOff>
    </xdr:to>
    <xdr:sp macro="" textlink="">
      <xdr:nvSpPr>
        <xdr:cNvPr id="53" name="角丸四角形 52"/>
        <xdr:cNvSpPr/>
      </xdr:nvSpPr>
      <xdr:spPr>
        <a:xfrm>
          <a:off x="7231530" y="12812059"/>
          <a:ext cx="702236" cy="694765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695882</xdr:colOff>
      <xdr:row>54</xdr:row>
      <xdr:rowOff>0</xdr:rowOff>
    </xdr:from>
    <xdr:to>
      <xdr:col>15</xdr:col>
      <xdr:colOff>253999</xdr:colOff>
      <xdr:row>57</xdr:row>
      <xdr:rowOff>0</xdr:rowOff>
    </xdr:to>
    <xdr:sp macro="" textlink="">
      <xdr:nvSpPr>
        <xdr:cNvPr id="54" name="角丸四角形 53"/>
        <xdr:cNvSpPr/>
      </xdr:nvSpPr>
      <xdr:spPr>
        <a:xfrm flipH="1">
          <a:off x="7896782" y="13747750"/>
          <a:ext cx="3018867" cy="6858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■インバーターがある場合に記載（任意）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・「○」を選択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349250</xdr:colOff>
      <xdr:row>52</xdr:row>
      <xdr:rowOff>0</xdr:rowOff>
    </xdr:from>
    <xdr:to>
      <xdr:col>10</xdr:col>
      <xdr:colOff>695881</xdr:colOff>
      <xdr:row>55</xdr:row>
      <xdr:rowOff>114300</xdr:rowOff>
    </xdr:to>
    <xdr:cxnSp macro="">
      <xdr:nvCxnSpPr>
        <xdr:cNvPr id="55" name="カギ線コネクタ 54"/>
        <xdr:cNvCxnSpPr>
          <a:stCxn id="53" idx="2"/>
          <a:endCxn id="54" idx="3"/>
        </xdr:cNvCxnSpPr>
      </xdr:nvCxnSpPr>
      <xdr:spPr>
        <a:xfrm rot="16200000" flipH="1">
          <a:off x="7323416" y="13517284"/>
          <a:ext cx="800100" cy="346631"/>
        </a:xfrm>
        <a:prstGeom prst="bentConnector2">
          <a:avLst/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28</xdr:col>
      <xdr:colOff>768349</xdr:colOff>
      <xdr:row>15</xdr:row>
      <xdr:rowOff>0</xdr:rowOff>
    </xdr:to>
    <xdr:grpSp>
      <xdr:nvGrpSpPr>
        <xdr:cNvPr id="6" name="グループ化 5"/>
        <xdr:cNvGrpSpPr/>
      </xdr:nvGrpSpPr>
      <xdr:grpSpPr>
        <a:xfrm>
          <a:off x="15957550" y="3632200"/>
          <a:ext cx="6146799" cy="457200"/>
          <a:chOff x="13323490" y="2754086"/>
          <a:chExt cx="4286376" cy="466165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13323490" y="2754086"/>
            <a:ext cx="2143188" cy="23955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(E=(a+b×r2)×t/1000)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15466678" y="2754086"/>
            <a:ext cx="2143188" cy="2286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(E'=(a'+b'×r2)×n'×t'/1000)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3323491" y="2987168"/>
            <a:ext cx="2143188" cy="233083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(C=E×0.000431)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5466678" y="2987169"/>
            <a:ext cx="2143188" cy="233082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CO2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排出量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(C'=E'×0.000431)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2</xdr:col>
      <xdr:colOff>1</xdr:colOff>
      <xdr:row>49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15" name="角丸四角形 14"/>
        <xdr:cNvSpPr/>
      </xdr:nvSpPr>
      <xdr:spPr>
        <a:xfrm>
          <a:off x="776942" y="12543118"/>
          <a:ext cx="1187823" cy="911411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" name="角丸四角形 15"/>
        <xdr:cNvSpPr/>
      </xdr:nvSpPr>
      <xdr:spPr>
        <a:xfrm flipH="1">
          <a:off x="273050" y="14217650"/>
          <a:ext cx="2654300" cy="25146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■望ましい記載：</a:t>
          </a:r>
          <a:r>
            <a:rPr kumimoji="1" lang="ja-JP" altLang="en-US" sz="1100" b="1">
              <a:solidFill>
                <a:sysClr val="windowText" lastClr="000000"/>
              </a:solidFill>
            </a:rPr>
            <a:t>型番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●型番が不明な場合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100" b="1">
              <a:solidFill>
                <a:sysClr val="windowText" lastClr="000000"/>
              </a:solidFill>
            </a:rPr>
            <a:t>動力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ja-JP" altLang="en-US" sz="1100" b="1">
              <a:solidFill>
                <a:sysClr val="windowText" lastClr="000000"/>
              </a:solidFill>
            </a:rPr>
            <a:t>電灯</a:t>
          </a:r>
          <a:r>
            <a:rPr kumimoji="1" lang="ja-JP" altLang="en-US" sz="1100">
              <a:solidFill>
                <a:sysClr val="windowText" lastClr="000000"/>
              </a:solidFill>
            </a:rPr>
            <a:t>、</a:t>
          </a:r>
          <a:r>
            <a:rPr kumimoji="1" lang="en-US" altLang="ja-JP" sz="1100" b="1">
              <a:solidFill>
                <a:sysClr val="windowText" lastClr="000000"/>
              </a:solidFill>
            </a:rPr>
            <a:t>KVA</a:t>
          </a:r>
          <a:r>
            <a:rPr kumimoji="1" lang="ja-JP" altLang="en-US" sz="1100">
              <a:solidFill>
                <a:sysClr val="windowText" lastClr="000000"/>
              </a:solidFill>
            </a:rPr>
            <a:t>など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・どういった規格の設備か分かるように記載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動力・電灯や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KVA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が異なるものは判別できるように記載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558800</xdr:colOff>
      <xdr:row>51</xdr:row>
      <xdr:rowOff>0</xdr:rowOff>
    </xdr:from>
    <xdr:to>
      <xdr:col>2</xdr:col>
      <xdr:colOff>593726</xdr:colOff>
      <xdr:row>53</xdr:row>
      <xdr:rowOff>0</xdr:rowOff>
    </xdr:to>
    <xdr:cxnSp macro="">
      <xdr:nvCxnSpPr>
        <xdr:cNvPr id="17" name="カギ線コネクタ 16"/>
        <xdr:cNvCxnSpPr>
          <a:stCxn id="15" idx="2"/>
          <a:endCxn id="16" idx="0"/>
        </xdr:cNvCxnSpPr>
      </xdr:nvCxnSpPr>
      <xdr:spPr>
        <a:xfrm rot="5400000">
          <a:off x="1389063" y="13971587"/>
          <a:ext cx="457200" cy="34926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358586</xdr:colOff>
      <xdr:row>53</xdr:row>
      <xdr:rowOff>1</xdr:rowOff>
    </xdr:from>
    <xdr:to>
      <xdr:col>7</xdr:col>
      <xdr:colOff>698499</xdr:colOff>
      <xdr:row>64</xdr:row>
      <xdr:rowOff>1</xdr:rowOff>
    </xdr:to>
    <xdr:sp macro="" textlink="">
      <xdr:nvSpPr>
        <xdr:cNvPr id="26" name="角丸四角形 25"/>
        <xdr:cNvSpPr/>
      </xdr:nvSpPr>
      <xdr:spPr>
        <a:xfrm flipH="1">
          <a:off x="3285936" y="14217651"/>
          <a:ext cx="2689413" cy="2514600"/>
        </a:xfrm>
        <a:prstGeom prst="roundRect">
          <a:avLst/>
        </a:prstGeom>
        <a:solidFill>
          <a:schemeClr val="bg1"/>
        </a:solidFill>
        <a:ln w="190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■容量、相数、変圧比、無負荷損、負荷損：</a:t>
          </a:r>
          <a:r>
            <a:rPr kumimoji="1" lang="ja-JP" altLang="en-US" sz="1100" b="1">
              <a:solidFill>
                <a:sysClr val="windowText" lastClr="000000"/>
              </a:solidFill>
            </a:rPr>
            <a:t>仕様書に基づいた仕様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●仕様が不明な場合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省エネ診断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で確認が取れた仕様</a:t>
          </a:r>
          <a:endParaRPr kumimoji="0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★要点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・根拠に基づいた仕様を記載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根拠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資料は提出が必要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49</xdr:row>
      <xdr:rowOff>0</xdr:rowOff>
    </xdr:from>
    <xdr:to>
      <xdr:col>8</xdr:col>
      <xdr:colOff>0</xdr:colOff>
      <xdr:row>51</xdr:row>
      <xdr:rowOff>0</xdr:rowOff>
    </xdr:to>
    <xdr:sp macro="" textlink="">
      <xdr:nvSpPr>
        <xdr:cNvPr id="27" name="角丸四角形 26"/>
        <xdr:cNvSpPr/>
      </xdr:nvSpPr>
      <xdr:spPr>
        <a:xfrm>
          <a:off x="1964765" y="12543118"/>
          <a:ext cx="3765176" cy="911411"/>
        </a:xfrm>
        <a:prstGeom prst="roundRect">
          <a:avLst/>
        </a:prstGeom>
        <a:noFill/>
        <a:ln w="28575">
          <a:solidFill>
            <a:srgbClr val="00B0F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476251</xdr:colOff>
      <xdr:row>50</xdr:row>
      <xdr:rowOff>457199</xdr:rowOff>
    </xdr:from>
    <xdr:to>
      <xdr:col>6</xdr:col>
      <xdr:colOff>52293</xdr:colOff>
      <xdr:row>53</xdr:row>
      <xdr:rowOff>0</xdr:rowOff>
    </xdr:to>
    <xdr:cxnSp macro="">
      <xdr:nvCxnSpPr>
        <xdr:cNvPr id="28" name="カギ線コネクタ 27"/>
        <xdr:cNvCxnSpPr>
          <a:stCxn id="27" idx="2"/>
          <a:endCxn id="26" idx="0"/>
        </xdr:cNvCxnSpPr>
      </xdr:nvCxnSpPr>
      <xdr:spPr>
        <a:xfrm rot="16200000" flipH="1">
          <a:off x="4137771" y="13724779"/>
          <a:ext cx="457201" cy="528542"/>
        </a:xfrm>
        <a:prstGeom prst="bentConnector3">
          <a:avLst>
            <a:gd name="adj1" fmla="val 50000"/>
          </a:avLst>
        </a:prstGeom>
        <a:ln w="127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9" name="角丸四角形 28"/>
        <xdr:cNvSpPr/>
      </xdr:nvSpPr>
      <xdr:spPr>
        <a:xfrm>
          <a:off x="6432176" y="11452412"/>
          <a:ext cx="1404471" cy="859117"/>
        </a:xfrm>
        <a:prstGeom prst="roundRect">
          <a:avLst/>
        </a:prstGeom>
        <a:noFill/>
        <a:ln w="38100">
          <a:solidFill>
            <a:schemeClr val="accent4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527050</xdr:colOff>
      <xdr:row>40</xdr:row>
      <xdr:rowOff>0</xdr:rowOff>
    </xdr:from>
    <xdr:to>
      <xdr:col>19</xdr:col>
      <xdr:colOff>708961</xdr:colOff>
      <xdr:row>44</xdr:row>
      <xdr:rowOff>0</xdr:rowOff>
    </xdr:to>
    <xdr:sp macro="" textlink="">
      <xdr:nvSpPr>
        <xdr:cNvPr id="30" name="テキスト ボックス 29"/>
        <xdr:cNvSpPr txBox="1"/>
      </xdr:nvSpPr>
      <xdr:spPr>
        <a:xfrm>
          <a:off x="9994900" y="10248900"/>
          <a:ext cx="5134911" cy="10541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使用時間の確認</a:t>
          </a:r>
          <a:endParaRPr kumimoji="1" lang="en-US" altLang="ja-JP" sz="1100" b="1"/>
        </a:p>
        <a:p>
          <a:r>
            <a:rPr kumimoji="1" lang="ja-JP" altLang="en-US" sz="1100"/>
            <a:t>必要に応じて、使用時間の</a:t>
          </a:r>
          <a:r>
            <a:rPr kumimoji="1" lang="ja-JP" altLang="en-US" sz="1100" b="1"/>
            <a:t>根拠資料の提出</a:t>
          </a:r>
          <a:r>
            <a:rPr kumimoji="1" lang="ja-JP" altLang="en-US" sz="1100"/>
            <a:t>をお願いする場合や、</a:t>
          </a:r>
          <a:r>
            <a:rPr kumimoji="1" lang="ja-JP" altLang="en-US" sz="1100" b="1"/>
            <a:t>ヒアリング</a:t>
          </a:r>
          <a:r>
            <a:rPr kumimoji="1" lang="ja-JP" altLang="en-US" sz="1100" b="0"/>
            <a:t>、</a:t>
          </a:r>
          <a:r>
            <a:rPr kumimoji="1" lang="ja-JP" altLang="en-US" sz="1100" b="1"/>
            <a:t>現地調査</a:t>
          </a:r>
          <a:r>
            <a:rPr kumimoji="1" lang="ja-JP" altLang="en-US" sz="1100"/>
            <a:t>を実施することがあります。</a:t>
          </a:r>
          <a:endParaRPr kumimoji="1" lang="en-US" altLang="ja-JP" sz="1100"/>
        </a:p>
        <a:p>
          <a:r>
            <a:rPr kumimoji="1" lang="ja-JP" altLang="en-US" sz="1100"/>
            <a:t>あらかじめご了承ください。</a:t>
          </a:r>
        </a:p>
      </xdr:txBody>
    </xdr:sp>
    <xdr:clientData/>
  </xdr:twoCellAnchor>
  <xdr:twoCellAnchor>
    <xdr:from>
      <xdr:col>13</xdr:col>
      <xdr:colOff>104587</xdr:colOff>
      <xdr:row>41</xdr:row>
      <xdr:rowOff>137831</xdr:rowOff>
    </xdr:from>
    <xdr:to>
      <xdr:col>13</xdr:col>
      <xdr:colOff>527050</xdr:colOff>
      <xdr:row>41</xdr:row>
      <xdr:rowOff>158750</xdr:rowOff>
    </xdr:to>
    <xdr:cxnSp macro="">
      <xdr:nvCxnSpPr>
        <xdr:cNvPr id="31" name="カギ線コネクタ 30"/>
        <xdr:cNvCxnSpPr>
          <a:stCxn id="32" idx="1"/>
          <a:endCxn id="30" idx="1"/>
        </xdr:cNvCxnSpPr>
      </xdr:nvCxnSpPr>
      <xdr:spPr>
        <a:xfrm>
          <a:off x="9572437" y="10755031"/>
          <a:ext cx="422463" cy="20919"/>
        </a:xfrm>
        <a:prstGeom prst="bentConnector3">
          <a:avLst>
            <a:gd name="adj1" fmla="val 50000"/>
          </a:avLst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634999</xdr:colOff>
      <xdr:row>40</xdr:row>
      <xdr:rowOff>82175</xdr:rowOff>
    </xdr:from>
    <xdr:to>
      <xdr:col>13</xdr:col>
      <xdr:colOff>104587</xdr:colOff>
      <xdr:row>43</xdr:row>
      <xdr:rowOff>104587</xdr:rowOff>
    </xdr:to>
    <xdr:sp macro="" textlink="">
      <xdr:nvSpPr>
        <xdr:cNvPr id="32" name="角丸四角形 31"/>
        <xdr:cNvSpPr/>
      </xdr:nvSpPr>
      <xdr:spPr>
        <a:xfrm flipH="1">
          <a:off x="5662705" y="10242175"/>
          <a:ext cx="3683000" cy="620059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■必要な記載：</a:t>
          </a:r>
          <a:r>
            <a:rPr kumimoji="1" lang="ja-JP" altLang="en-US" sz="1100" b="1">
              <a:solidFill>
                <a:sysClr val="windowText" lastClr="000000"/>
              </a:solidFill>
            </a:rPr>
            <a:t>業務実態に基づいた使用時間・日数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43</xdr:row>
      <xdr:rowOff>104588</xdr:rowOff>
    </xdr:from>
    <xdr:to>
      <xdr:col>10</xdr:col>
      <xdr:colOff>369793</xdr:colOff>
      <xdr:row>46</xdr:row>
      <xdr:rowOff>1</xdr:rowOff>
    </xdr:to>
    <xdr:cxnSp macro="">
      <xdr:nvCxnSpPr>
        <xdr:cNvPr id="33" name="カギ線コネクタ 32"/>
        <xdr:cNvCxnSpPr>
          <a:stCxn id="32" idx="2"/>
          <a:endCxn id="29" idx="0"/>
        </xdr:cNvCxnSpPr>
      </xdr:nvCxnSpPr>
      <xdr:spPr>
        <a:xfrm rot="5400000">
          <a:off x="7024220" y="10972427"/>
          <a:ext cx="590178" cy="369793"/>
        </a:xfrm>
        <a:prstGeom prst="bentConnector3">
          <a:avLst>
            <a:gd name="adj1" fmla="val 50000"/>
          </a:avLst>
        </a:prstGeom>
        <a:ln w="19050">
          <a:solidFill>
            <a:schemeClr val="accent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9</xdr:col>
      <xdr:colOff>6937</xdr:colOff>
      <xdr:row>13</xdr:row>
      <xdr:rowOff>0</xdr:rowOff>
    </xdr:to>
    <xdr:sp macro="" textlink="">
      <xdr:nvSpPr>
        <xdr:cNvPr id="39" name="テキスト ボックス 38"/>
        <xdr:cNvSpPr txBox="1"/>
      </xdr:nvSpPr>
      <xdr:spPr>
        <a:xfrm>
          <a:off x="273050" y="2711450"/>
          <a:ext cx="6407737" cy="9207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を参考に設備更新による削減量を算定してください。</a:t>
          </a:r>
          <a:endParaRPr kumimoji="1" lang="en-US" altLang="ja-JP" sz="16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↓ハイパーリンク（クリックで記入例へ移動します。）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0</xdr:colOff>
      <xdr:row>7</xdr:row>
      <xdr:rowOff>1</xdr:rowOff>
    </xdr:from>
    <xdr:to>
      <xdr:col>20</xdr:col>
      <xdr:colOff>0</xdr:colOff>
      <xdr:row>8</xdr:row>
      <xdr:rowOff>1</xdr:rowOff>
    </xdr:to>
    <xdr:sp macro="" textlink="">
      <xdr:nvSpPr>
        <xdr:cNvPr id="40" name="テキスト ボックス 39"/>
        <xdr:cNvSpPr txBox="1"/>
      </xdr:nvSpPr>
      <xdr:spPr>
        <a:xfrm>
          <a:off x="7403353" y="2091766"/>
          <a:ext cx="7836647" cy="23158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容量の増加に伴いエネルギーの削減に繋がらない場合は、補助対象と認められない場合があります。</a:t>
          </a: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12</xdr:row>
      <xdr:rowOff>1</xdr:rowOff>
    </xdr:from>
    <xdr:to>
      <xdr:col>15</xdr:col>
      <xdr:colOff>0</xdr:colOff>
      <xdr:row>15</xdr:row>
      <xdr:rowOff>0</xdr:rowOff>
    </xdr:to>
    <xdr:grpSp>
      <xdr:nvGrpSpPr>
        <xdr:cNvPr id="41" name="グループ化 40"/>
        <xdr:cNvGrpSpPr/>
      </xdr:nvGrpSpPr>
      <xdr:grpSpPr>
        <a:xfrm>
          <a:off x="7372350" y="3416301"/>
          <a:ext cx="3524250" cy="673099"/>
          <a:chOff x="7808258" y="2518206"/>
          <a:chExt cx="2806466" cy="628408"/>
        </a:xfrm>
      </xdr:grpSpPr>
      <xdr:grpSp>
        <xdr:nvGrpSpPr>
          <xdr:cNvPr id="42" name="グループ化 41"/>
          <xdr:cNvGrpSpPr/>
        </xdr:nvGrpSpPr>
        <xdr:grpSpPr>
          <a:xfrm>
            <a:off x="7808258" y="2518206"/>
            <a:ext cx="2806466" cy="628408"/>
            <a:chOff x="17123226" y="2975963"/>
            <a:chExt cx="2816558" cy="616323"/>
          </a:xfrm>
        </xdr:grpSpPr>
        <xdr:sp macro="" textlink="">
          <xdr:nvSpPr>
            <xdr:cNvPr id="44" name="テキスト ボックス 43"/>
            <xdr:cNvSpPr txBox="1"/>
          </xdr:nvSpPr>
          <xdr:spPr>
            <a:xfrm>
              <a:off x="17123226" y="2975963"/>
              <a:ext cx="2816558" cy="616323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●凡例</a:t>
              </a:r>
            </a:p>
          </xdr:txBody>
        </xdr:sp>
        <xdr:sp macro="" textlink="">
          <xdr:nvSpPr>
            <xdr:cNvPr id="45" name="テキスト ボックス 44"/>
            <xdr:cNvSpPr txBox="1"/>
          </xdr:nvSpPr>
          <xdr:spPr>
            <a:xfrm>
              <a:off x="17351828" y="3251553"/>
              <a:ext cx="772886" cy="286305"/>
            </a:xfrm>
            <a:prstGeom prst="rect">
              <a:avLst/>
            </a:prstGeom>
            <a:solidFill>
              <a:srgbClr val="FFF2CC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入力セル</a:t>
              </a:r>
            </a:p>
          </xdr:txBody>
        </xdr:sp>
        <xdr:sp macro="" textlink="">
          <xdr:nvSpPr>
            <xdr:cNvPr id="46" name="テキスト ボックス 45"/>
            <xdr:cNvSpPr txBox="1"/>
          </xdr:nvSpPr>
          <xdr:spPr>
            <a:xfrm>
              <a:off x="18196139" y="3251552"/>
              <a:ext cx="772886" cy="286306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選択セル</a:t>
              </a:r>
            </a:p>
          </xdr:txBody>
        </xdr:sp>
      </xdr:grpSp>
      <xdr:sp macro="" textlink="">
        <xdr:nvSpPr>
          <xdr:cNvPr id="43" name="テキスト ボックス 42"/>
          <xdr:cNvSpPr txBox="1"/>
        </xdr:nvSpPr>
        <xdr:spPr>
          <a:xfrm>
            <a:off x="9717741" y="2804307"/>
            <a:ext cx="770117" cy="28937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入力不可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</xdr:row>
      <xdr:rowOff>0</xdr:rowOff>
    </xdr:from>
    <xdr:to>
      <xdr:col>15</xdr:col>
      <xdr:colOff>0</xdr:colOff>
      <xdr:row>13</xdr:row>
      <xdr:rowOff>0</xdr:rowOff>
    </xdr:to>
    <xdr:grpSp>
      <xdr:nvGrpSpPr>
        <xdr:cNvPr id="3" name="グループ化 2"/>
        <xdr:cNvGrpSpPr/>
      </xdr:nvGrpSpPr>
      <xdr:grpSpPr>
        <a:xfrm>
          <a:off x="9734550" y="2654300"/>
          <a:ext cx="2565400" cy="457200"/>
          <a:chOff x="11843657" y="2763050"/>
          <a:chExt cx="2705136" cy="457200"/>
        </a:xfrm>
      </xdr:grpSpPr>
      <xdr:sp macro="" textlink="">
        <xdr:nvSpPr>
          <xdr:cNvPr id="4" name="テキスト ボックス 3"/>
          <xdr:cNvSpPr txBox="1"/>
        </xdr:nvSpPr>
        <xdr:spPr>
          <a:xfrm>
            <a:off x="11843657" y="2763050"/>
            <a:ext cx="2705136" cy="2286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年間消費電力量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(E=a×n×b)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1843657" y="2991650"/>
            <a:ext cx="2705136" cy="228600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年間燃料消費量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(F=A×n×b)</a:t>
            </a:r>
            <a:endParaRPr lang="en-US" altLang="ja-JP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3</xdr:col>
      <xdr:colOff>98613</xdr:colOff>
      <xdr:row>10</xdr:row>
      <xdr:rowOff>161364</xdr:rowOff>
    </xdr:from>
    <xdr:to>
      <xdr:col>9</xdr:col>
      <xdr:colOff>663389</xdr:colOff>
      <xdr:row>12</xdr:row>
      <xdr:rowOff>100289</xdr:rowOff>
    </xdr:to>
    <xdr:sp macro="" textlink="">
      <xdr:nvSpPr>
        <xdr:cNvPr id="7" name="テキスト ボックス 6"/>
        <xdr:cNvSpPr txBox="1"/>
      </xdr:nvSpPr>
      <xdr:spPr>
        <a:xfrm>
          <a:off x="2420472" y="2626658"/>
          <a:ext cx="5567082" cy="40509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各設備シートで算定できない場合等にご利用ください。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241300</xdr:colOff>
      <xdr:row>39</xdr:row>
      <xdr:rowOff>107950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25936" cy="911340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48</xdr:col>
      <xdr:colOff>508000</xdr:colOff>
      <xdr:row>82</xdr:row>
      <xdr:rowOff>120650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32207200" cy="97218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36</xdr:col>
      <xdr:colOff>25400</xdr:colOff>
      <xdr:row>157</xdr:row>
      <xdr:rowOff>146050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9400"/>
          <a:ext cx="23799800" cy="65468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33</xdr:col>
      <xdr:colOff>317500</xdr:colOff>
      <xdr:row>186</xdr:row>
      <xdr:rowOff>146050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18800"/>
          <a:ext cx="22110700" cy="65468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47</xdr:col>
      <xdr:colOff>152400</xdr:colOff>
      <xdr:row>128</xdr:row>
      <xdr:rowOff>146050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73800"/>
          <a:ext cx="31191200" cy="104330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Normal="100" workbookViewId="0">
      <selection activeCell="D6" sqref="D6"/>
    </sheetView>
  </sheetViews>
  <sheetFormatPr defaultRowHeight="18"/>
  <cols>
    <col min="1" max="1" width="4.83203125" style="14" customWidth="1"/>
    <col min="2" max="2" width="5.83203125" style="14" customWidth="1"/>
    <col min="3" max="3" width="17" style="14" customWidth="1"/>
    <col min="4" max="11" width="10.83203125" style="14" customWidth="1"/>
    <col min="12" max="12" width="12.6640625" style="14" customWidth="1"/>
    <col min="13" max="17" width="10.83203125" style="14" customWidth="1"/>
    <col min="18" max="18" width="14.33203125" style="14" bestFit="1" customWidth="1"/>
    <col min="19" max="16384" width="8.6640625" style="14"/>
  </cols>
  <sheetData>
    <row r="1" spans="1:17" ht="29">
      <c r="A1" s="13" t="s">
        <v>0</v>
      </c>
      <c r="G1" s="408"/>
    </row>
    <row r="2" spans="1:17">
      <c r="G2" s="409"/>
      <c r="H2" s="22"/>
      <c r="I2" s="22"/>
      <c r="J2" s="410"/>
      <c r="K2" s="22"/>
    </row>
    <row r="3" spans="1:17">
      <c r="A3" s="14">
        <v>1</v>
      </c>
      <c r="B3" s="14" t="s">
        <v>1152</v>
      </c>
    </row>
    <row r="4" spans="1:17">
      <c r="C4" s="608" t="s">
        <v>1149</v>
      </c>
      <c r="D4" s="608"/>
      <c r="E4" s="608"/>
      <c r="F4" s="610" t="s">
        <v>877</v>
      </c>
      <c r="G4" s="612" t="s">
        <v>2</v>
      </c>
      <c r="H4" s="613"/>
      <c r="I4" s="609" t="s">
        <v>866</v>
      </c>
      <c r="J4" s="609"/>
      <c r="K4" s="609"/>
      <c r="L4" s="609"/>
      <c r="M4" s="609"/>
      <c r="N4" s="609"/>
      <c r="P4" s="609" t="s">
        <v>1150</v>
      </c>
      <c r="Q4" s="609"/>
    </row>
    <row r="5" spans="1:17">
      <c r="C5" s="402" t="s">
        <v>376</v>
      </c>
      <c r="D5" s="411" t="s">
        <v>1</v>
      </c>
      <c r="E5" s="412"/>
      <c r="F5" s="611"/>
      <c r="G5" s="614"/>
      <c r="H5" s="615"/>
      <c r="I5" s="413" t="s">
        <v>375</v>
      </c>
      <c r="J5" s="414"/>
      <c r="K5" s="414" t="s">
        <v>3</v>
      </c>
      <c r="L5" s="414"/>
      <c r="M5" s="414" t="s">
        <v>4</v>
      </c>
      <c r="N5" s="414"/>
      <c r="P5" s="100" t="s">
        <v>890</v>
      </c>
      <c r="Q5" s="100"/>
    </row>
    <row r="6" spans="1:17">
      <c r="C6" s="114" t="s">
        <v>5</v>
      </c>
      <c r="D6" s="2"/>
      <c r="E6" s="11" t="s">
        <v>6</v>
      </c>
      <c r="F6" s="415" t="str">
        <f>IF(D20&lt;&gt;0,IF(D6&gt;=D20,"使用量≧算定","算定＞使用量"),"ー")</f>
        <v>ー</v>
      </c>
      <c r="G6" s="2"/>
      <c r="H6" s="11" t="s">
        <v>7</v>
      </c>
      <c r="I6" s="416">
        <f>IF(OR(D6=0,G6=0),0,G6/D6)</f>
        <v>0</v>
      </c>
      <c r="J6" s="11" t="str">
        <f>"円／"&amp;E6</f>
        <v>円／kWh</v>
      </c>
      <c r="K6" s="417">
        <f>D6*M6</f>
        <v>0</v>
      </c>
      <c r="L6" s="11" t="s">
        <v>8</v>
      </c>
      <c r="M6" s="418">
        <f>VLOOKUP(C6,係数!$B$2:$I$30,7,FALSE)</f>
        <v>4.3100000000000001E-4</v>
      </c>
      <c r="N6" s="11" t="str">
        <f>VLOOKUP(C6,係数!$B$2:$I$30,8,FALSE)</f>
        <v>tCO2/kWh</v>
      </c>
      <c r="P6" s="3"/>
      <c r="Q6" s="11" t="s">
        <v>10</v>
      </c>
    </row>
    <row r="7" spans="1:17">
      <c r="C7" s="114" t="s">
        <v>9</v>
      </c>
      <c r="D7" s="2"/>
      <c r="E7" s="11" t="s">
        <v>10</v>
      </c>
      <c r="F7" s="415" t="str">
        <f>IF(D21&lt;&gt;0,IF(D7&gt;=D21,"使用量≧算定","算定＞使用量"),"ー")</f>
        <v>ー</v>
      </c>
      <c r="G7" s="2"/>
      <c r="H7" s="11" t="s">
        <v>378</v>
      </c>
      <c r="I7" s="416">
        <f>IF(OR(D7=0,G7=0),0,G7/D7)</f>
        <v>0</v>
      </c>
      <c r="J7" s="11" t="str">
        <f>"円／"&amp;E7</f>
        <v>円／㎥</v>
      </c>
      <c r="K7" s="417">
        <f>D7*M7</f>
        <v>0</v>
      </c>
      <c r="L7" s="11" t="s">
        <v>8</v>
      </c>
      <c r="M7" s="418">
        <f>VLOOKUP(C7,係数!$B$2:$I$30,7,FALSE)</f>
        <v>2.0500000000000002E-3</v>
      </c>
      <c r="N7" s="11" t="str">
        <f>VLOOKUP(C7,係数!$B$2:$I$30,8,FALSE)</f>
        <v>tCO2/㎥</v>
      </c>
      <c r="P7" s="420">
        <f>P6/0.458</f>
        <v>0</v>
      </c>
      <c r="Q7" s="11" t="s">
        <v>13</v>
      </c>
    </row>
    <row r="8" spans="1:17">
      <c r="C8" s="114" t="s">
        <v>12</v>
      </c>
      <c r="D8" s="2"/>
      <c r="E8" s="21" t="str">
        <f>IF(C8="","",VLOOKUP(C8,係数!$B$2:$I$30,4,FALSE))</f>
        <v>kg</v>
      </c>
      <c r="F8" s="421" t="str">
        <f>IF(D22&lt;&gt;0,IF(D8&gt;=D22,"使用量≧算定","算定＞使用量"),"ー")</f>
        <v>ー</v>
      </c>
      <c r="G8" s="2"/>
      <c r="H8" s="11" t="s">
        <v>378</v>
      </c>
      <c r="I8" s="416">
        <f>IF(OR(D8=0,G8=0),0,G8/D8)</f>
        <v>0</v>
      </c>
      <c r="J8" s="11" t="str">
        <f>"円／"&amp;E8</f>
        <v>円／kg</v>
      </c>
      <c r="K8" s="417">
        <f>D8*M8</f>
        <v>0</v>
      </c>
      <c r="L8" s="11" t="s">
        <v>8</v>
      </c>
      <c r="M8" s="418">
        <f>VLOOKUP(C8,係数!$B$2:$I$30,7,FALSE)</f>
        <v>2.99431E-3</v>
      </c>
      <c r="N8" s="11" t="str">
        <f>VLOOKUP(C8,係数!$B$2:$I$30,8,FALSE)</f>
        <v>tCO2/kg</v>
      </c>
    </row>
    <row r="9" spans="1:17">
      <c r="B9" s="422" t="s">
        <v>374</v>
      </c>
      <c r="C9" s="4"/>
      <c r="D9" s="2"/>
      <c r="E9" s="21" t="str">
        <f>IF(C9="","",VLOOKUP(C9,係数!$B$2:$I$30,4,FALSE))</f>
        <v/>
      </c>
      <c r="F9" s="198"/>
      <c r="G9" s="2"/>
      <c r="H9" s="11" t="s">
        <v>378</v>
      </c>
      <c r="I9" s="416">
        <f>IF(OR(D9=0,G9=0),0,G9/D9)</f>
        <v>0</v>
      </c>
      <c r="J9" s="11" t="str">
        <f>"円／"&amp;E9</f>
        <v>円／</v>
      </c>
      <c r="K9" s="417">
        <f>IF(D9="",0,D9*M9)</f>
        <v>0</v>
      </c>
      <c r="L9" s="11" t="s">
        <v>8</v>
      </c>
      <c r="M9" s="418" t="str">
        <f>IF(C9="","",VLOOKUP(C9,係数!$B$2:$I$30,7,FALSE))</f>
        <v/>
      </c>
      <c r="N9" s="11" t="str">
        <f>IF(C9="","",VLOOKUP(C9,係数!$B$2:$I$30,8,FALSE))</f>
        <v/>
      </c>
    </row>
    <row r="10" spans="1:17">
      <c r="B10" s="422" t="s">
        <v>373</v>
      </c>
      <c r="C10" s="4"/>
      <c r="D10" s="2"/>
      <c r="E10" s="21" t="str">
        <f>IF(C10="","",VLOOKUP(C10,係数!$B$2:$I$30,4,FALSE))</f>
        <v/>
      </c>
      <c r="F10" s="198"/>
      <c r="G10" s="2"/>
      <c r="H10" s="11" t="s">
        <v>378</v>
      </c>
      <c r="I10" s="416">
        <f>IF(OR(D10=0,G10=0),0,G10/D10)</f>
        <v>0</v>
      </c>
      <c r="J10" s="11" t="str">
        <f>"円／"&amp;E10</f>
        <v>円／</v>
      </c>
      <c r="K10" s="417">
        <f>IF(D10="",0,D10*M10)</f>
        <v>0</v>
      </c>
      <c r="L10" s="11" t="s">
        <v>8</v>
      </c>
      <c r="M10" s="418" t="str">
        <f>IF(C10="","",VLOOKUP(C10,係数!$B$2:$I$30,7,FALSE))</f>
        <v/>
      </c>
      <c r="N10" s="11" t="str">
        <f>IF(C10="","",VLOOKUP(C10,係数!$B$2:$I$30,8,FALSE))</f>
        <v/>
      </c>
    </row>
    <row r="11" spans="1:17">
      <c r="C11" s="424"/>
      <c r="D11" s="424"/>
      <c r="E11" s="11" t="s">
        <v>16</v>
      </c>
      <c r="F11" s="425"/>
      <c r="G11" s="8">
        <f>SUM(G6:G10)</f>
        <v>0</v>
      </c>
      <c r="H11" s="11" t="s">
        <v>7</v>
      </c>
      <c r="I11" s="424"/>
      <c r="J11" s="11" t="s">
        <v>16</v>
      </c>
      <c r="K11" s="417">
        <f>SUM(K6:K10)</f>
        <v>0</v>
      </c>
      <c r="L11" s="11" t="s">
        <v>8</v>
      </c>
      <c r="M11" s="424"/>
      <c r="N11" s="424"/>
    </row>
    <row r="18" spans="1:10" ht="26.5">
      <c r="A18" s="426" t="s">
        <v>873</v>
      </c>
    </row>
    <row r="19" spans="1:10">
      <c r="A19" s="427"/>
      <c r="C19" s="402" t="s">
        <v>376</v>
      </c>
      <c r="D19" s="405" t="s">
        <v>1</v>
      </c>
      <c r="E19" s="428"/>
      <c r="F19" s="429" t="s">
        <v>875</v>
      </c>
      <c r="G19" s="429" t="s">
        <v>1104</v>
      </c>
      <c r="H19" s="429" t="s">
        <v>1115</v>
      </c>
      <c r="I19" s="429" t="s">
        <v>1113</v>
      </c>
      <c r="J19" s="429" t="s">
        <v>876</v>
      </c>
    </row>
    <row r="20" spans="1:10">
      <c r="C20" s="430" t="s">
        <v>5</v>
      </c>
      <c r="D20" s="431">
        <f>SUM(F20:J20)</f>
        <v>0</v>
      </c>
      <c r="E20" s="21" t="s">
        <v>381</v>
      </c>
      <c r="F20" s="432">
        <f>照明!$K$19</f>
        <v>0</v>
      </c>
      <c r="G20" s="433">
        <f>SUM(空調負荷率!V33:V52,空調負荷率!AL33:AL52)</f>
        <v>0</v>
      </c>
      <c r="H20" s="433">
        <f>SUMIF(ボイラー・給湯器!$G$22:$G$31,"電気",ボイラー・給湯器!$T$22:$T$31)</f>
        <v>0</v>
      </c>
      <c r="I20" s="433">
        <f>コンプレッサー!$O$19</f>
        <v>0</v>
      </c>
      <c r="J20" s="433">
        <f>変圧器!$M$19</f>
        <v>0</v>
      </c>
    </row>
    <row r="21" spans="1:10">
      <c r="C21" s="430" t="s">
        <v>9</v>
      </c>
      <c r="D21" s="431">
        <f>SUM(G21:H21)</f>
        <v>0</v>
      </c>
      <c r="E21" s="21" t="s">
        <v>874</v>
      </c>
      <c r="F21" s="434"/>
      <c r="G21" s="433">
        <f>SUMIF(空調負荷率!E10:E29,"*都市ガス*",空調負荷率!V56:V75)+SUMIF(空調負荷率!E10:E29,"*都市ガス*",空調負荷率!AL56:AL75)</f>
        <v>0</v>
      </c>
      <c r="H21" s="433">
        <f>SUMIF(ボイラー・給湯器!$G$22:$G$31,"*都市ガス*",ボイラー・給湯器!$T$22:$T$31)</f>
        <v>0</v>
      </c>
      <c r="I21" s="435"/>
      <c r="J21" s="435"/>
    </row>
    <row r="22" spans="1:10">
      <c r="C22" s="149" t="s">
        <v>12</v>
      </c>
      <c r="D22" s="431">
        <f>SUM(G22:H22)</f>
        <v>0</v>
      </c>
      <c r="E22" s="21" t="s">
        <v>874</v>
      </c>
      <c r="F22" s="434"/>
      <c r="G22" s="433">
        <f>SUMIF(空調負荷率!E10:E29,"*LPG*",空調負荷率!V56:V75)+SUMIF(空調負荷率!E10:E29,"*LPG*",空調負荷率!AL56:AL75)</f>
        <v>0</v>
      </c>
      <c r="H22" s="433">
        <f>SUMIF(ボイラー・給湯器!$G$22:$G$31,"*LPG*",ボイラー・給湯器!$T$22:$T$31)</f>
        <v>0</v>
      </c>
      <c r="I22" s="435"/>
      <c r="J22" s="435"/>
    </row>
  </sheetData>
  <sheetProtection algorithmName="SHA-512" hashValue="YE1WjpDhh+O7nevesj6eOsOMy+7aQ4VOuUX6oGOUEpM4+JcBm6o5lLE1OE39/wmlmBtaSB1c16wN/haI01gKCQ==" saltValue="fGG/El5bHvlnfhwZAGnBfQ==" spinCount="100000" sheet="1" formatCells="0" formatColumns="0" formatRows="0"/>
  <mergeCells count="5">
    <mergeCell ref="C4:E4"/>
    <mergeCell ref="I4:N4"/>
    <mergeCell ref="F4:F5"/>
    <mergeCell ref="G4:H5"/>
    <mergeCell ref="P4:Q4"/>
  </mergeCells>
  <phoneticPr fontId="6"/>
  <conditionalFormatting sqref="G2">
    <cfRule type="expression" dxfId="79" priority="21">
      <formula>#REF!="把握していない"</formula>
    </cfRule>
  </conditionalFormatting>
  <conditionalFormatting sqref="F6:F8">
    <cfRule type="cellIs" dxfId="78" priority="1" operator="equal">
      <formula>"診断＞使用量"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係数!$B$3:$B$30</xm:f>
          </x14:formula1>
          <xm:sqref>C8:C10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Normal="100" workbookViewId="0"/>
  </sheetViews>
  <sheetFormatPr defaultColWidth="8.83203125" defaultRowHeight="18"/>
  <cols>
    <col min="1" max="1" width="18.08203125" style="587" customWidth="1"/>
    <col min="2" max="2" width="25.1640625" style="587" customWidth="1"/>
    <col min="3" max="3" width="8.83203125" style="587"/>
    <col min="4" max="4" width="12.83203125" style="587" customWidth="1"/>
    <col min="5" max="5" width="12.08203125" style="587" customWidth="1"/>
    <col min="6" max="7" width="8.83203125" style="587"/>
    <col min="8" max="8" width="14.83203125" style="602" customWidth="1"/>
    <col min="9" max="9" width="11.9140625" style="587" customWidth="1"/>
    <col min="10" max="16384" width="8.83203125" style="587"/>
  </cols>
  <sheetData>
    <row r="1" spans="1:23" ht="19">
      <c r="A1" s="34" t="s">
        <v>183</v>
      </c>
      <c r="B1" s="35">
        <v>1</v>
      </c>
      <c r="C1" s="35">
        <v>2</v>
      </c>
      <c r="D1" s="35">
        <v>3</v>
      </c>
      <c r="E1" s="132">
        <v>4</v>
      </c>
      <c r="F1" s="132">
        <v>5</v>
      </c>
      <c r="G1" s="132">
        <v>6</v>
      </c>
      <c r="H1" s="132">
        <v>7</v>
      </c>
      <c r="I1" s="35">
        <v>8</v>
      </c>
      <c r="K1" s="588" t="s">
        <v>746</v>
      </c>
    </row>
    <row r="2" spans="1:23">
      <c r="B2" s="36" t="s">
        <v>184</v>
      </c>
      <c r="C2" s="37" t="s">
        <v>185</v>
      </c>
      <c r="D2" s="38" t="s">
        <v>186</v>
      </c>
      <c r="E2" s="39" t="s">
        <v>187</v>
      </c>
      <c r="F2" s="40" t="s">
        <v>188</v>
      </c>
      <c r="G2" s="38" t="s">
        <v>189</v>
      </c>
      <c r="H2" s="41" t="s">
        <v>190</v>
      </c>
      <c r="I2" s="38" t="s">
        <v>189</v>
      </c>
      <c r="K2" s="589" t="str">
        <f>HYPERLINK("#", "https://www.enecho.meti.go.jp/statistics/total_energy/carbon.html")</f>
        <v>https://www.enecho.meti.go.jp/statistics/total_energy/carbon.html</v>
      </c>
    </row>
    <row r="3" spans="1:23" ht="18" customHeight="1">
      <c r="B3" s="42" t="s">
        <v>191</v>
      </c>
      <c r="C3" s="130">
        <v>38.299999999999997</v>
      </c>
      <c r="D3" s="43" t="str">
        <f>"MJ/"&amp;E3</f>
        <v>MJ/L</v>
      </c>
      <c r="E3" s="43" t="s">
        <v>11</v>
      </c>
      <c r="F3" s="590">
        <v>1.9E-2</v>
      </c>
      <c r="G3" s="44" t="s">
        <v>192</v>
      </c>
      <c r="H3" s="45">
        <f>$C3*F3*44/12/1000</f>
        <v>2.668233333333333E-3</v>
      </c>
      <c r="I3" s="591" t="str">
        <f>"tCO2/"&amp;E3</f>
        <v>tCO2/L</v>
      </c>
      <c r="K3" s="588" t="s">
        <v>747</v>
      </c>
    </row>
    <row r="4" spans="1:23">
      <c r="B4" s="42" t="s">
        <v>193</v>
      </c>
      <c r="C4" s="130">
        <v>34.799999999999997</v>
      </c>
      <c r="D4" s="43" t="str">
        <f t="shared" ref="D4:D10" si="0">"MJ/"&amp;E4</f>
        <v>MJ/L</v>
      </c>
      <c r="E4" s="43" t="s">
        <v>11</v>
      </c>
      <c r="F4" s="590">
        <v>1.83E-2</v>
      </c>
      <c r="G4" s="44" t="s">
        <v>192</v>
      </c>
      <c r="H4" s="45">
        <f t="shared" ref="H4:H24" si="1">$C4*F4*44/12/1000</f>
        <v>2.3350800000000002E-3</v>
      </c>
      <c r="I4" s="591" t="str">
        <f t="shared" ref="I4:I30" si="2">"tCO2/"&amp;E4</f>
        <v>tCO2/L</v>
      </c>
      <c r="K4" s="589" t="str">
        <f>HYPERLINK("#", "https://ghg-santeikohyo.env.go.jp/calc")</f>
        <v>https://ghg-santeikohyo.env.go.jp/calc</v>
      </c>
    </row>
    <row r="5" spans="1:23">
      <c r="B5" s="42" t="s">
        <v>194</v>
      </c>
      <c r="C5" s="130">
        <v>33.4</v>
      </c>
      <c r="D5" s="43" t="str">
        <f t="shared" si="0"/>
        <v>MJ/L</v>
      </c>
      <c r="E5" s="43" t="s">
        <v>11</v>
      </c>
      <c r="F5" s="590">
        <v>1.8700000000000001E-2</v>
      </c>
      <c r="G5" s="44" t="s">
        <v>192</v>
      </c>
      <c r="H5" s="45">
        <f t="shared" si="1"/>
        <v>2.2901266666666667E-3</v>
      </c>
      <c r="I5" s="591" t="str">
        <f t="shared" si="2"/>
        <v>tCO2/L</v>
      </c>
    </row>
    <row r="6" spans="1:23">
      <c r="B6" s="42" t="s">
        <v>195</v>
      </c>
      <c r="C6" s="130">
        <v>33.299999999999997</v>
      </c>
      <c r="D6" s="43" t="str">
        <f t="shared" si="0"/>
        <v>MJ/L</v>
      </c>
      <c r="E6" s="43" t="s">
        <v>11</v>
      </c>
      <c r="F6" s="590">
        <v>1.8599999999999998E-2</v>
      </c>
      <c r="G6" s="44" t="s">
        <v>192</v>
      </c>
      <c r="H6" s="45">
        <f t="shared" si="1"/>
        <v>2.2710599999999997E-3</v>
      </c>
      <c r="I6" s="591" t="str">
        <f t="shared" si="2"/>
        <v>tCO2/L</v>
      </c>
    </row>
    <row r="7" spans="1:23">
      <c r="B7" s="42" t="s">
        <v>14</v>
      </c>
      <c r="C7" s="130">
        <v>36.5</v>
      </c>
      <c r="D7" s="43" t="str">
        <f t="shared" si="0"/>
        <v>MJ/L</v>
      </c>
      <c r="E7" s="43" t="s">
        <v>11</v>
      </c>
      <c r="F7" s="590">
        <v>1.8700000000000001E-2</v>
      </c>
      <c r="G7" s="44" t="s">
        <v>192</v>
      </c>
      <c r="H7" s="45">
        <f t="shared" si="1"/>
        <v>2.5026833333333335E-3</v>
      </c>
      <c r="I7" s="591" t="str">
        <f t="shared" si="2"/>
        <v>tCO2/L</v>
      </c>
    </row>
    <row r="8" spans="1:23">
      <c r="B8" s="42" t="s">
        <v>196</v>
      </c>
      <c r="C8" s="130">
        <v>38</v>
      </c>
      <c r="D8" s="43" t="str">
        <f t="shared" si="0"/>
        <v>MJ/L</v>
      </c>
      <c r="E8" s="43" t="s">
        <v>11</v>
      </c>
      <c r="F8" s="590">
        <v>1.8800000000000001E-2</v>
      </c>
      <c r="G8" s="44" t="s">
        <v>192</v>
      </c>
      <c r="H8" s="45">
        <f t="shared" si="1"/>
        <v>2.6194666666666667E-3</v>
      </c>
      <c r="I8" s="591" t="str">
        <f t="shared" si="2"/>
        <v>tCO2/L</v>
      </c>
    </row>
    <row r="9" spans="1:23">
      <c r="B9" s="42" t="s">
        <v>15</v>
      </c>
      <c r="C9" s="130">
        <v>38.9</v>
      </c>
      <c r="D9" s="43" t="str">
        <f t="shared" si="0"/>
        <v>MJ/L</v>
      </c>
      <c r="E9" s="43" t="s">
        <v>11</v>
      </c>
      <c r="F9" s="590">
        <v>1.9300000000000001E-2</v>
      </c>
      <c r="G9" s="44" t="s">
        <v>192</v>
      </c>
      <c r="H9" s="45">
        <f t="shared" si="1"/>
        <v>2.7528233333333338E-3</v>
      </c>
      <c r="I9" s="591" t="str">
        <f t="shared" si="2"/>
        <v>tCO2/L</v>
      </c>
    </row>
    <row r="10" spans="1:23">
      <c r="B10" s="42" t="s">
        <v>197</v>
      </c>
      <c r="C10" s="130">
        <v>41.8</v>
      </c>
      <c r="D10" s="43" t="str">
        <f t="shared" si="0"/>
        <v>MJ/L</v>
      </c>
      <c r="E10" s="43" t="s">
        <v>11</v>
      </c>
      <c r="F10" s="590">
        <v>2.0199999999999999E-2</v>
      </c>
      <c r="G10" s="44" t="s">
        <v>192</v>
      </c>
      <c r="H10" s="45">
        <f t="shared" si="1"/>
        <v>3.0959866666666661E-3</v>
      </c>
      <c r="I10" s="591" t="str">
        <f t="shared" si="2"/>
        <v>tCO2/L</v>
      </c>
    </row>
    <row r="11" spans="1:23">
      <c r="B11" s="42" t="s">
        <v>198</v>
      </c>
      <c r="C11" s="130">
        <v>40</v>
      </c>
      <c r="D11" s="43" t="str">
        <f>"MJ/"&amp;E11</f>
        <v>MJ/kg</v>
      </c>
      <c r="E11" s="43" t="s">
        <v>13</v>
      </c>
      <c r="F11" s="590">
        <v>2.0400000000000001E-2</v>
      </c>
      <c r="G11" s="44" t="s">
        <v>192</v>
      </c>
      <c r="H11" s="45">
        <f t="shared" si="1"/>
        <v>2.9920000000000003E-3</v>
      </c>
      <c r="I11" s="591" t="str">
        <f t="shared" si="2"/>
        <v>tCO2/kg</v>
      </c>
    </row>
    <row r="12" spans="1:23">
      <c r="B12" s="42" t="s">
        <v>199</v>
      </c>
      <c r="C12" s="130">
        <v>34.1</v>
      </c>
      <c r="D12" s="43" t="str">
        <f t="shared" ref="D12:D30" si="3">"MJ/"&amp;E12</f>
        <v>MJ/kg</v>
      </c>
      <c r="E12" s="43" t="s">
        <v>13</v>
      </c>
      <c r="F12" s="590">
        <v>2.4500000000000001E-2</v>
      </c>
      <c r="G12" s="44" t="s">
        <v>192</v>
      </c>
      <c r="H12" s="45">
        <f t="shared" si="1"/>
        <v>3.0633166666666667E-3</v>
      </c>
      <c r="I12" s="591" t="str">
        <f t="shared" si="2"/>
        <v>tCO2/kg</v>
      </c>
    </row>
    <row r="13" spans="1:23">
      <c r="B13" s="42" t="s">
        <v>12</v>
      </c>
      <c r="C13" s="130">
        <v>50.1</v>
      </c>
      <c r="D13" s="43" t="str">
        <f>"MJ/"&amp;E13</f>
        <v>MJ/kg</v>
      </c>
      <c r="E13" s="43" t="s">
        <v>13</v>
      </c>
      <c r="F13" s="590">
        <v>1.6299999999999999E-2</v>
      </c>
      <c r="G13" s="44" t="s">
        <v>192</v>
      </c>
      <c r="H13" s="129">
        <f>$C13*F13*44/12/1000</f>
        <v>2.99431E-3</v>
      </c>
      <c r="I13" s="592" t="str">
        <f t="shared" si="2"/>
        <v>tCO2/kg</v>
      </c>
      <c r="J13" s="593"/>
      <c r="N13" s="594"/>
      <c r="O13" s="340"/>
      <c r="P13" s="595"/>
      <c r="Q13" s="339"/>
      <c r="R13" s="339"/>
      <c r="S13" s="596"/>
      <c r="T13" s="341"/>
      <c r="U13" s="342"/>
      <c r="V13" s="597"/>
      <c r="W13" s="594"/>
    </row>
    <row r="14" spans="1:23">
      <c r="B14" s="42" t="s">
        <v>200</v>
      </c>
      <c r="C14" s="130">
        <v>46.1</v>
      </c>
      <c r="D14" s="43" t="str">
        <f t="shared" si="3"/>
        <v>MJ/㎥</v>
      </c>
      <c r="E14" s="43" t="s">
        <v>10</v>
      </c>
      <c r="F14" s="590">
        <v>1.44E-2</v>
      </c>
      <c r="G14" s="44" t="s">
        <v>192</v>
      </c>
      <c r="H14" s="45">
        <f t="shared" si="1"/>
        <v>2.4340799999999999E-3</v>
      </c>
      <c r="I14" s="591" t="str">
        <f t="shared" si="2"/>
        <v>tCO2/㎥</v>
      </c>
    </row>
    <row r="15" spans="1:23" ht="18" customHeight="1">
      <c r="B15" s="42" t="s">
        <v>201</v>
      </c>
      <c r="C15" s="130">
        <v>54.7</v>
      </c>
      <c r="D15" s="43" t="str">
        <f t="shared" si="3"/>
        <v>MJ/kg</v>
      </c>
      <c r="E15" s="43" t="s">
        <v>13</v>
      </c>
      <c r="F15" s="590">
        <v>1.3899999999999999E-2</v>
      </c>
      <c r="G15" s="44" t="s">
        <v>192</v>
      </c>
      <c r="H15" s="45">
        <f t="shared" si="1"/>
        <v>2.7878766666666662E-3</v>
      </c>
      <c r="I15" s="591" t="str">
        <f t="shared" si="2"/>
        <v>tCO2/kg</v>
      </c>
    </row>
    <row r="16" spans="1:23">
      <c r="B16" s="42" t="s">
        <v>202</v>
      </c>
      <c r="C16" s="130">
        <v>38.4</v>
      </c>
      <c r="D16" s="43" t="str">
        <f t="shared" si="3"/>
        <v>MJ/㎥</v>
      </c>
      <c r="E16" s="43" t="s">
        <v>10</v>
      </c>
      <c r="F16" s="590">
        <v>1.3899999999999999E-2</v>
      </c>
      <c r="G16" s="44" t="s">
        <v>192</v>
      </c>
      <c r="H16" s="45">
        <f t="shared" si="1"/>
        <v>1.9571199999999997E-3</v>
      </c>
      <c r="I16" s="591" t="str">
        <f t="shared" si="2"/>
        <v>tCO2/㎥</v>
      </c>
    </row>
    <row r="17" spans="2:10">
      <c r="B17" s="42" t="s">
        <v>203</v>
      </c>
      <c r="C17" s="130">
        <v>28.7</v>
      </c>
      <c r="D17" s="43" t="str">
        <f t="shared" si="3"/>
        <v>MJ/kg</v>
      </c>
      <c r="E17" s="43" t="s">
        <v>13</v>
      </c>
      <c r="F17" s="590">
        <v>2.46E-2</v>
      </c>
      <c r="G17" s="44" t="s">
        <v>192</v>
      </c>
      <c r="H17" s="45">
        <f t="shared" si="1"/>
        <v>2.58874E-3</v>
      </c>
      <c r="I17" s="591" t="str">
        <f t="shared" si="2"/>
        <v>tCO2/kg</v>
      </c>
    </row>
    <row r="18" spans="2:10">
      <c r="B18" s="42" t="s">
        <v>204</v>
      </c>
      <c r="C18" s="130">
        <v>26.1</v>
      </c>
      <c r="D18" s="43" t="str">
        <f t="shared" si="3"/>
        <v>MJ/kg</v>
      </c>
      <c r="E18" s="43" t="s">
        <v>13</v>
      </c>
      <c r="F18" s="590">
        <v>2.4299999999999999E-2</v>
      </c>
      <c r="G18" s="44" t="s">
        <v>192</v>
      </c>
      <c r="H18" s="45">
        <f t="shared" si="1"/>
        <v>2.3255099999999998E-3</v>
      </c>
      <c r="I18" s="591" t="str">
        <f t="shared" si="2"/>
        <v>tCO2/kg</v>
      </c>
    </row>
    <row r="19" spans="2:10">
      <c r="B19" s="42" t="s">
        <v>205</v>
      </c>
      <c r="C19" s="130">
        <v>27.8</v>
      </c>
      <c r="D19" s="43" t="str">
        <f t="shared" si="3"/>
        <v>MJ/kg</v>
      </c>
      <c r="E19" s="43" t="s">
        <v>13</v>
      </c>
      <c r="F19" s="590">
        <v>2.5899999999999999E-2</v>
      </c>
      <c r="G19" s="44" t="s">
        <v>192</v>
      </c>
      <c r="H19" s="45">
        <f t="shared" si="1"/>
        <v>2.6400733333333329E-3</v>
      </c>
      <c r="I19" s="591" t="str">
        <f t="shared" si="2"/>
        <v>tCO2/kg</v>
      </c>
    </row>
    <row r="20" spans="2:10">
      <c r="B20" s="42" t="s">
        <v>206</v>
      </c>
      <c r="C20" s="130">
        <v>29</v>
      </c>
      <c r="D20" s="43" t="str">
        <f t="shared" si="3"/>
        <v>MJ/kg</v>
      </c>
      <c r="E20" s="43" t="s">
        <v>13</v>
      </c>
      <c r="F20" s="590">
        <v>2.9899999999999999E-2</v>
      </c>
      <c r="G20" s="44" t="s">
        <v>192</v>
      </c>
      <c r="H20" s="45">
        <f t="shared" si="1"/>
        <v>3.1793666666666666E-3</v>
      </c>
      <c r="I20" s="591" t="str">
        <f t="shared" si="2"/>
        <v>tCO2/kg</v>
      </c>
    </row>
    <row r="21" spans="2:10">
      <c r="B21" s="42" t="s">
        <v>207</v>
      </c>
      <c r="C21" s="130">
        <v>37.299999999999997</v>
      </c>
      <c r="D21" s="43" t="str">
        <f t="shared" si="3"/>
        <v>MJ/kg</v>
      </c>
      <c r="E21" s="43" t="s">
        <v>13</v>
      </c>
      <c r="F21" s="590">
        <v>2.0899999999999998E-2</v>
      </c>
      <c r="G21" s="44" t="s">
        <v>192</v>
      </c>
      <c r="H21" s="45">
        <f t="shared" si="1"/>
        <v>2.8584233333333329E-3</v>
      </c>
      <c r="I21" s="591" t="str">
        <f t="shared" si="2"/>
        <v>tCO2/kg</v>
      </c>
    </row>
    <row r="22" spans="2:10">
      <c r="B22" s="42" t="s">
        <v>208</v>
      </c>
      <c r="C22" s="130">
        <v>18.399999999999999</v>
      </c>
      <c r="D22" s="43" t="str">
        <f t="shared" si="3"/>
        <v>MJ/㎥</v>
      </c>
      <c r="E22" s="43" t="s">
        <v>10</v>
      </c>
      <c r="F22" s="590">
        <v>1.09E-2</v>
      </c>
      <c r="G22" s="44" t="s">
        <v>192</v>
      </c>
      <c r="H22" s="45">
        <f t="shared" si="1"/>
        <v>7.3538666666666652E-4</v>
      </c>
      <c r="I22" s="591" t="str">
        <f t="shared" si="2"/>
        <v>tCO2/㎥</v>
      </c>
    </row>
    <row r="23" spans="2:10">
      <c r="B23" s="42" t="s">
        <v>209</v>
      </c>
      <c r="C23" s="598">
        <v>3.23</v>
      </c>
      <c r="D23" s="43" t="str">
        <f t="shared" si="3"/>
        <v>MJ/㎥</v>
      </c>
      <c r="E23" s="43" t="s">
        <v>10</v>
      </c>
      <c r="F23" s="590">
        <v>2.64E-2</v>
      </c>
      <c r="G23" s="44" t="s">
        <v>192</v>
      </c>
      <c r="H23" s="45">
        <f t="shared" si="1"/>
        <v>3.1266399999999999E-4</v>
      </c>
      <c r="I23" s="591" t="str">
        <f t="shared" si="2"/>
        <v>tCO2/㎥</v>
      </c>
    </row>
    <row r="24" spans="2:10">
      <c r="B24" s="42" t="s">
        <v>210</v>
      </c>
      <c r="C24" s="598">
        <v>7.53</v>
      </c>
      <c r="D24" s="43" t="str">
        <f t="shared" si="3"/>
        <v>MJ/㎥</v>
      </c>
      <c r="E24" s="43" t="s">
        <v>10</v>
      </c>
      <c r="F24" s="590">
        <v>4.2000000000000003E-2</v>
      </c>
      <c r="G24" s="128" t="s">
        <v>192</v>
      </c>
      <c r="H24" s="129">
        <f t="shared" si="1"/>
        <v>1.1596200000000001E-3</v>
      </c>
      <c r="I24" s="599" t="str">
        <f t="shared" si="2"/>
        <v>tCO2/㎥</v>
      </c>
    </row>
    <row r="25" spans="2:10">
      <c r="B25" s="46" t="s">
        <v>122</v>
      </c>
      <c r="C25" s="130">
        <v>40</v>
      </c>
      <c r="D25" s="43" t="str">
        <f t="shared" si="3"/>
        <v>MJ/㎥</v>
      </c>
      <c r="E25" s="43" t="s">
        <v>10</v>
      </c>
      <c r="F25" s="590">
        <v>1.3977272727272729E-2</v>
      </c>
      <c r="G25" s="128" t="s">
        <v>192</v>
      </c>
      <c r="H25" s="129">
        <f>$C25*F25*44/12/1000</f>
        <v>2.0500000000000002E-3</v>
      </c>
      <c r="I25" s="599" t="str">
        <f>"tCO2/"&amp;E25</f>
        <v>tCO2/㎥</v>
      </c>
      <c r="J25" s="600"/>
    </row>
    <row r="26" spans="2:10">
      <c r="B26" s="47" t="s">
        <v>211</v>
      </c>
      <c r="C26" s="598">
        <v>1.17</v>
      </c>
      <c r="D26" s="43" t="str">
        <f>"MJ/"&amp;E26</f>
        <v>MJ/MJ</v>
      </c>
      <c r="E26" s="43" t="s">
        <v>358</v>
      </c>
      <c r="F26" s="590">
        <v>6.54E-2</v>
      </c>
      <c r="G26" s="131" t="s">
        <v>212</v>
      </c>
      <c r="H26" s="129">
        <f>$C26*F26/1000</f>
        <v>7.6517999999999988E-5</v>
      </c>
      <c r="I26" s="599" t="str">
        <f>"tCO2/"&amp;E26</f>
        <v>tCO2/MJ</v>
      </c>
    </row>
    <row r="27" spans="2:10">
      <c r="B27" s="47" t="s">
        <v>213</v>
      </c>
      <c r="C27" s="598">
        <v>1.19</v>
      </c>
      <c r="D27" s="43" t="str">
        <f>"MJ/"&amp;E27</f>
        <v>MJ/MJ</v>
      </c>
      <c r="E27" s="43" t="s">
        <v>358</v>
      </c>
      <c r="F27" s="590">
        <v>5.3199999999999997E-2</v>
      </c>
      <c r="G27" s="131" t="s">
        <v>212</v>
      </c>
      <c r="H27" s="129">
        <f>$C27*F27/1000</f>
        <v>6.3307999999999984E-5</v>
      </c>
      <c r="I27" s="599" t="str">
        <f t="shared" si="2"/>
        <v>tCO2/MJ</v>
      </c>
    </row>
    <row r="28" spans="2:10">
      <c r="B28" s="47" t="s">
        <v>214</v>
      </c>
      <c r="C28" s="598">
        <v>1.19</v>
      </c>
      <c r="D28" s="43" t="str">
        <f>"MJ/"&amp;E28</f>
        <v>MJ/MJ</v>
      </c>
      <c r="E28" s="43" t="s">
        <v>358</v>
      </c>
      <c r="F28" s="590">
        <v>5.3199999999999997E-2</v>
      </c>
      <c r="G28" s="131" t="s">
        <v>212</v>
      </c>
      <c r="H28" s="129">
        <f>$C28*F28/1000</f>
        <v>6.3307999999999984E-5</v>
      </c>
      <c r="I28" s="599" t="str">
        <f t="shared" si="2"/>
        <v>tCO2/MJ</v>
      </c>
    </row>
    <row r="29" spans="2:10">
      <c r="B29" s="47" t="s">
        <v>215</v>
      </c>
      <c r="C29" s="598">
        <v>1.19</v>
      </c>
      <c r="D29" s="43" t="str">
        <f>"MJ/"&amp;E29</f>
        <v>MJ/MJ</v>
      </c>
      <c r="E29" s="43" t="s">
        <v>358</v>
      </c>
      <c r="F29" s="590">
        <v>5.3199999999999997E-2</v>
      </c>
      <c r="G29" s="131" t="s">
        <v>212</v>
      </c>
      <c r="H29" s="129">
        <f>$C29*F29/1000</f>
        <v>6.3307999999999984E-5</v>
      </c>
      <c r="I29" s="599" t="str">
        <f t="shared" si="2"/>
        <v>tCO2/MJ</v>
      </c>
    </row>
    <row r="30" spans="2:10" ht="18" customHeight="1">
      <c r="B30" s="601" t="s">
        <v>5</v>
      </c>
      <c r="C30" s="598">
        <v>8.64</v>
      </c>
      <c r="D30" s="43" t="str">
        <f t="shared" si="3"/>
        <v>MJ/kWh</v>
      </c>
      <c r="E30" s="43" t="s">
        <v>6</v>
      </c>
      <c r="F30" s="48">
        <v>4.3100000000000001E-4</v>
      </c>
      <c r="G30" s="131" t="s">
        <v>216</v>
      </c>
      <c r="H30" s="129">
        <f>F30</f>
        <v>4.3100000000000001E-4</v>
      </c>
      <c r="I30" s="599" t="str">
        <f t="shared" si="2"/>
        <v>tCO2/kWh</v>
      </c>
    </row>
  </sheetData>
  <sheetProtection algorithmName="SHA-512" hashValue="yjyuexUBoxUQFNUMi/H9bQX3RKkI6HtsAQKLT8TWLhWsVzn/On8FmzIdaWOGAJmbtjFwwBrMgQwkQTvLpTr7iQ==" saltValue="28NBkaP0tzwhDVaqT8aijQ==" spinCount="100000" sheet="1" formatCells="0" formatColumns="0" formatRows="0"/>
  <phoneticPr fontId="6"/>
  <conditionalFormatting sqref="G30 C30">
    <cfRule type="containsErrors" dxfId="2" priority="3">
      <formula>ISERROR(C30)</formula>
    </cfRule>
  </conditionalFormatting>
  <conditionalFormatting sqref="F30">
    <cfRule type="containsErrors" dxfId="1" priority="2">
      <formula>ISERROR(F30)</formula>
    </cfRule>
  </conditionalFormatting>
  <conditionalFormatting sqref="B30">
    <cfRule type="cellIs" dxfId="0" priority="1" operator="equal">
      <formula>"電気事業者名を選択"</formula>
    </cfRule>
  </conditionalFormatting>
  <hyperlinks>
    <hyperlink ref="K2"/>
    <hyperlink ref="K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/>
  </sheetViews>
  <sheetFormatPr defaultRowHeight="18"/>
  <cols>
    <col min="2" max="2" width="11.58203125" customWidth="1"/>
  </cols>
  <sheetData>
    <row r="1" spans="1:6">
      <c r="B1" t="s">
        <v>363</v>
      </c>
      <c r="C1" t="s">
        <v>217</v>
      </c>
      <c r="D1" t="s">
        <v>364</v>
      </c>
      <c r="E1" t="s">
        <v>219</v>
      </c>
      <c r="F1" t="s">
        <v>220</v>
      </c>
    </row>
    <row r="2" spans="1:6">
      <c r="A2" t="s">
        <v>221</v>
      </c>
      <c r="B2" s="87">
        <v>0.75</v>
      </c>
      <c r="C2" s="49">
        <v>0.72099999999999997</v>
      </c>
      <c r="D2" s="49">
        <v>0.72099999999999997</v>
      </c>
      <c r="E2" s="49">
        <v>0.7</v>
      </c>
      <c r="F2" s="49"/>
    </row>
    <row r="3" spans="1:6">
      <c r="A3" t="s">
        <v>221</v>
      </c>
      <c r="B3" s="66">
        <v>1.1000000000000001</v>
      </c>
      <c r="C3" s="49">
        <v>0.75</v>
      </c>
      <c r="D3" s="49">
        <v>0.75</v>
      </c>
      <c r="E3" s="49">
        <v>0.72900000000000009</v>
      </c>
      <c r="F3" s="49"/>
    </row>
    <row r="4" spans="1:6">
      <c r="A4" t="s">
        <v>221</v>
      </c>
      <c r="B4" s="66">
        <v>1.5</v>
      </c>
      <c r="C4" s="49">
        <v>0.77200000000000002</v>
      </c>
      <c r="D4" s="49">
        <v>0.77200000000000002</v>
      </c>
      <c r="E4" s="49">
        <v>0.752</v>
      </c>
      <c r="F4" s="49"/>
    </row>
    <row r="5" spans="1:6">
      <c r="A5" t="s">
        <v>221</v>
      </c>
      <c r="B5" s="66">
        <v>2.2000000000000002</v>
      </c>
      <c r="C5" s="49">
        <v>0.79700000000000004</v>
      </c>
      <c r="D5" s="49">
        <v>0.79700000000000004</v>
      </c>
      <c r="E5" s="49">
        <v>0.77700000000000002</v>
      </c>
      <c r="F5" s="49"/>
    </row>
    <row r="6" spans="1:6">
      <c r="A6" t="s">
        <v>221</v>
      </c>
      <c r="B6" s="66">
        <v>3</v>
      </c>
      <c r="C6" s="49">
        <v>0.81499999999999995</v>
      </c>
      <c r="D6" s="49">
        <v>0.81499999999999995</v>
      </c>
      <c r="E6" s="49">
        <v>0.79700000000000004</v>
      </c>
      <c r="F6" s="49"/>
    </row>
    <row r="7" spans="1:6">
      <c r="A7" t="s">
        <v>221</v>
      </c>
      <c r="B7" s="66">
        <v>3.7</v>
      </c>
      <c r="C7" s="49">
        <v>0.82700000000000007</v>
      </c>
      <c r="D7" s="49">
        <v>0.82700000000000007</v>
      </c>
      <c r="E7" s="49">
        <v>0.80900000000000005</v>
      </c>
      <c r="F7" s="49"/>
    </row>
    <row r="8" spans="1:6">
      <c r="A8" t="s">
        <v>221</v>
      </c>
      <c r="B8" s="66">
        <v>4</v>
      </c>
      <c r="C8" s="49">
        <v>0.83099999999999996</v>
      </c>
      <c r="D8" s="49">
        <v>0.83099999999999996</v>
      </c>
      <c r="E8" s="49">
        <v>0.81400000000000006</v>
      </c>
      <c r="F8" s="49"/>
    </row>
    <row r="9" spans="1:6">
      <c r="A9" t="s">
        <v>221</v>
      </c>
      <c r="B9" s="66">
        <v>5.5</v>
      </c>
      <c r="C9" s="49">
        <v>0.84699999999999998</v>
      </c>
      <c r="D9" s="49">
        <v>0.84699999999999998</v>
      </c>
      <c r="E9" s="49">
        <v>0.83099999999999996</v>
      </c>
      <c r="F9" s="49"/>
    </row>
    <row r="10" spans="1:6">
      <c r="A10" t="s">
        <v>221</v>
      </c>
      <c r="B10" s="66">
        <v>7.5</v>
      </c>
      <c r="C10" s="49">
        <v>0.86</v>
      </c>
      <c r="D10" s="49">
        <v>0.86</v>
      </c>
      <c r="E10" s="49">
        <v>0.84699999999999998</v>
      </c>
      <c r="F10" s="49"/>
    </row>
    <row r="11" spans="1:6">
      <c r="A11" t="s">
        <v>221</v>
      </c>
      <c r="B11" s="88">
        <v>11</v>
      </c>
      <c r="C11" s="49">
        <v>0.87599999999999989</v>
      </c>
      <c r="D11" s="49">
        <v>0.87599999999999989</v>
      </c>
      <c r="E11" s="49">
        <v>0.8640000000000001</v>
      </c>
      <c r="F11" s="49"/>
    </row>
    <row r="12" spans="1:6">
      <c r="A12" t="s">
        <v>221</v>
      </c>
      <c r="B12" s="88">
        <v>15</v>
      </c>
      <c r="C12" s="49">
        <v>0.88700000000000001</v>
      </c>
      <c r="D12" s="49">
        <v>0.88700000000000001</v>
      </c>
      <c r="E12" s="49">
        <v>0.877</v>
      </c>
      <c r="F12" s="49"/>
    </row>
    <row r="13" spans="1:6">
      <c r="A13" t="s">
        <v>221</v>
      </c>
      <c r="B13" s="88">
        <v>18.5</v>
      </c>
      <c r="C13" s="49">
        <v>0.89300000000000002</v>
      </c>
      <c r="D13" s="49">
        <v>0.89300000000000002</v>
      </c>
      <c r="E13" s="49">
        <v>0.8859999999999999</v>
      </c>
      <c r="F13" s="49"/>
    </row>
    <row r="14" spans="1:6">
      <c r="A14" t="s">
        <v>221</v>
      </c>
      <c r="B14" s="88">
        <v>22</v>
      </c>
      <c r="C14" s="49">
        <v>0.89900000000000002</v>
      </c>
      <c r="D14" s="49">
        <v>0.89900000000000002</v>
      </c>
      <c r="E14" s="49">
        <v>0.89200000000000002</v>
      </c>
      <c r="F14" s="49"/>
    </row>
    <row r="15" spans="1:6">
      <c r="A15" t="s">
        <v>221</v>
      </c>
      <c r="B15" s="88">
        <v>30</v>
      </c>
      <c r="C15" s="49">
        <v>0.90700000000000003</v>
      </c>
      <c r="D15" s="49">
        <v>0.90700000000000003</v>
      </c>
      <c r="E15" s="49">
        <v>0.90200000000000002</v>
      </c>
      <c r="F15" s="49"/>
    </row>
    <row r="16" spans="1:6">
      <c r="A16" t="s">
        <v>221</v>
      </c>
      <c r="B16" s="88">
        <v>37</v>
      </c>
      <c r="C16" s="49">
        <v>0.91200000000000003</v>
      </c>
      <c r="D16" s="49">
        <v>0.91200000000000003</v>
      </c>
      <c r="E16" s="49">
        <v>0.90799999999999992</v>
      </c>
      <c r="F16" s="49"/>
    </row>
    <row r="17" spans="1:6">
      <c r="A17" t="s">
        <v>221</v>
      </c>
      <c r="B17" s="88">
        <v>45</v>
      </c>
      <c r="C17" s="49">
        <v>0.91700000000000004</v>
      </c>
      <c r="D17" s="49">
        <v>0.91700000000000004</v>
      </c>
      <c r="E17" s="49">
        <v>0.91400000000000003</v>
      </c>
      <c r="F17" s="49"/>
    </row>
    <row r="18" spans="1:6">
      <c r="A18" t="s">
        <v>221</v>
      </c>
      <c r="B18" s="88">
        <v>55</v>
      </c>
      <c r="C18" s="49">
        <v>0.92099999999999993</v>
      </c>
      <c r="D18" s="49">
        <v>0.92099999999999993</v>
      </c>
      <c r="E18" s="49">
        <v>0.91900000000000004</v>
      </c>
      <c r="F18" s="49"/>
    </row>
    <row r="19" spans="1:6">
      <c r="A19" t="s">
        <v>221</v>
      </c>
      <c r="B19" s="88">
        <v>75</v>
      </c>
      <c r="C19" s="49">
        <v>0.92700000000000005</v>
      </c>
      <c r="D19" s="49">
        <v>0.92700000000000005</v>
      </c>
      <c r="E19" s="49">
        <v>0.92599999999999993</v>
      </c>
      <c r="F19" s="49"/>
    </row>
    <row r="20" spans="1:6">
      <c r="A20" t="s">
        <v>221</v>
      </c>
      <c r="B20" s="88">
        <v>90</v>
      </c>
      <c r="C20" s="49">
        <v>0.93</v>
      </c>
      <c r="D20" s="49">
        <v>0.93</v>
      </c>
      <c r="E20" s="49">
        <v>0.92900000000000005</v>
      </c>
      <c r="F20" s="49"/>
    </row>
    <row r="21" spans="1:6">
      <c r="A21" t="s">
        <v>221</v>
      </c>
      <c r="B21" s="88">
        <v>110</v>
      </c>
      <c r="C21" s="49">
        <v>0.93299999999999994</v>
      </c>
      <c r="D21" s="49">
        <v>0.93299999999999994</v>
      </c>
      <c r="E21" s="49">
        <v>0.93299999999999994</v>
      </c>
      <c r="F21" s="49"/>
    </row>
    <row r="22" spans="1:6">
      <c r="A22" t="s">
        <v>221</v>
      </c>
      <c r="B22" s="88">
        <v>132</v>
      </c>
      <c r="C22" s="49">
        <v>0.93500000000000005</v>
      </c>
      <c r="D22" s="49">
        <v>0.93500000000000005</v>
      </c>
      <c r="E22" s="49">
        <v>0.93500000000000005</v>
      </c>
      <c r="F22" s="49"/>
    </row>
    <row r="23" spans="1:6">
      <c r="A23" t="s">
        <v>221</v>
      </c>
      <c r="B23" s="88">
        <v>160</v>
      </c>
      <c r="C23" s="49">
        <v>0.93799999999999994</v>
      </c>
      <c r="D23" s="49">
        <v>0.93799999999999994</v>
      </c>
      <c r="E23" s="49">
        <v>0.93799999999999994</v>
      </c>
      <c r="F23" s="49"/>
    </row>
    <row r="24" spans="1:6">
      <c r="A24" t="s">
        <v>175</v>
      </c>
      <c r="B24" s="88">
        <v>185</v>
      </c>
      <c r="C24" s="49">
        <v>0.94</v>
      </c>
      <c r="D24" s="49">
        <v>0.94</v>
      </c>
      <c r="E24" s="49">
        <v>0.94</v>
      </c>
      <c r="F24" s="49"/>
    </row>
    <row r="25" spans="1:6">
      <c r="A25" t="s">
        <v>175</v>
      </c>
      <c r="B25" s="88">
        <v>200</v>
      </c>
      <c r="C25" s="49">
        <v>0.94</v>
      </c>
      <c r="D25" s="49">
        <v>0.94</v>
      </c>
      <c r="E25" s="49">
        <v>0.94</v>
      </c>
      <c r="F25" s="49"/>
    </row>
    <row r="26" spans="1:6">
      <c r="A26" t="s">
        <v>175</v>
      </c>
      <c r="B26" s="88">
        <v>220</v>
      </c>
      <c r="C26" s="49">
        <v>0.94</v>
      </c>
      <c r="D26" s="49">
        <v>0.94</v>
      </c>
      <c r="E26" s="49">
        <v>0.94</v>
      </c>
      <c r="F26" s="49"/>
    </row>
    <row r="27" spans="1:6">
      <c r="A27" t="s">
        <v>175</v>
      </c>
      <c r="B27" s="88">
        <v>250</v>
      </c>
      <c r="C27" s="49">
        <v>0.94</v>
      </c>
      <c r="D27" s="49">
        <v>0.94</v>
      </c>
      <c r="E27" s="49">
        <v>0.94</v>
      </c>
      <c r="F27" s="49"/>
    </row>
    <row r="28" spans="1:6">
      <c r="A28" t="s">
        <v>175</v>
      </c>
      <c r="B28" s="88">
        <v>280</v>
      </c>
      <c r="C28" s="49">
        <v>0.94</v>
      </c>
      <c r="D28" s="49">
        <v>0.94</v>
      </c>
      <c r="E28" s="49">
        <v>0.94</v>
      </c>
      <c r="F28" s="49"/>
    </row>
    <row r="29" spans="1:6">
      <c r="A29" t="s">
        <v>175</v>
      </c>
      <c r="B29" s="88">
        <v>300</v>
      </c>
      <c r="C29" s="49">
        <v>0.94</v>
      </c>
      <c r="D29" s="49">
        <v>0.94</v>
      </c>
      <c r="E29" s="49">
        <v>0.94</v>
      </c>
      <c r="F29" s="49"/>
    </row>
    <row r="30" spans="1:6">
      <c r="A30" t="s">
        <v>175</v>
      </c>
      <c r="B30" s="88">
        <v>315</v>
      </c>
      <c r="C30" s="49">
        <v>0.94</v>
      </c>
      <c r="D30" s="49">
        <v>0.94</v>
      </c>
      <c r="E30" s="49">
        <v>0.94</v>
      </c>
      <c r="F30" s="49"/>
    </row>
    <row r="31" spans="1:6">
      <c r="A31" t="s">
        <v>221</v>
      </c>
      <c r="B31" s="88">
        <v>355</v>
      </c>
      <c r="C31" s="49">
        <v>0.94</v>
      </c>
      <c r="D31" s="49">
        <v>0.94</v>
      </c>
      <c r="E31" s="49">
        <v>0.94</v>
      </c>
      <c r="F31" s="49"/>
    </row>
    <row r="32" spans="1:6">
      <c r="A32" t="s">
        <v>221</v>
      </c>
      <c r="B32" s="88">
        <v>375</v>
      </c>
      <c r="C32" s="49">
        <v>0.94</v>
      </c>
      <c r="D32" s="49">
        <v>0.94</v>
      </c>
      <c r="E32" s="49">
        <v>0.94</v>
      </c>
      <c r="F32" s="49"/>
    </row>
    <row r="33" spans="1:6">
      <c r="A33" t="s">
        <v>222</v>
      </c>
      <c r="B33" s="87">
        <v>0.75</v>
      </c>
      <c r="C33" s="49">
        <v>0.77400000000000002</v>
      </c>
      <c r="D33" s="49">
        <v>0.79599999999999993</v>
      </c>
      <c r="E33" s="49">
        <v>0.75900000000000001</v>
      </c>
      <c r="F33" s="49"/>
    </row>
    <row r="34" spans="1:6">
      <c r="A34" t="s">
        <v>222</v>
      </c>
      <c r="B34" s="66">
        <v>1.1000000000000001</v>
      </c>
      <c r="C34" s="49">
        <v>0.79599999999999993</v>
      </c>
      <c r="D34" s="49">
        <v>0.81400000000000006</v>
      </c>
      <c r="E34" s="49">
        <v>0.78099999999999992</v>
      </c>
      <c r="F34" s="49"/>
    </row>
    <row r="35" spans="1:6">
      <c r="A35" t="s">
        <v>222</v>
      </c>
      <c r="B35" s="66">
        <v>1.5</v>
      </c>
      <c r="C35" s="49">
        <v>0.81299999999999994</v>
      </c>
      <c r="D35" s="49">
        <v>0.82799999999999996</v>
      </c>
      <c r="E35" s="49">
        <v>0.79799999999999993</v>
      </c>
      <c r="F35" s="49"/>
    </row>
    <row r="36" spans="1:6">
      <c r="A36" t="s">
        <v>222</v>
      </c>
      <c r="B36" s="66">
        <v>2.2000000000000002</v>
      </c>
      <c r="C36" s="49">
        <v>0.83200000000000007</v>
      </c>
      <c r="D36" s="49">
        <v>0.84299999999999997</v>
      </c>
      <c r="E36" s="49">
        <v>0.81799999999999995</v>
      </c>
      <c r="F36" s="49"/>
    </row>
    <row r="37" spans="1:6">
      <c r="A37" t="s">
        <v>222</v>
      </c>
      <c r="B37" s="66">
        <v>3</v>
      </c>
      <c r="C37" s="49">
        <v>0.84599999999999997</v>
      </c>
      <c r="D37" s="49">
        <v>0.85499999999999998</v>
      </c>
      <c r="E37" s="49">
        <v>0.83299999999999996</v>
      </c>
      <c r="F37" s="49"/>
    </row>
    <row r="38" spans="1:6">
      <c r="A38" t="s">
        <v>222</v>
      </c>
      <c r="B38" s="66">
        <v>3.7</v>
      </c>
      <c r="C38" s="49">
        <v>0.85499999999999998</v>
      </c>
      <c r="D38" s="49">
        <v>0.86299999999999999</v>
      </c>
      <c r="E38" s="49">
        <v>0.84299999999999997</v>
      </c>
      <c r="F38" s="49"/>
    </row>
    <row r="39" spans="1:6">
      <c r="A39" t="s">
        <v>222</v>
      </c>
      <c r="B39" s="66">
        <v>4</v>
      </c>
      <c r="C39" s="49">
        <v>0.85799999999999998</v>
      </c>
      <c r="D39" s="49">
        <v>0.86599999999999999</v>
      </c>
      <c r="E39" s="49">
        <v>0.84599999999999997</v>
      </c>
      <c r="F39" s="49"/>
    </row>
    <row r="40" spans="1:6">
      <c r="A40" t="s">
        <v>222</v>
      </c>
      <c r="B40" s="66">
        <v>5.5</v>
      </c>
      <c r="C40" s="49">
        <v>0.87</v>
      </c>
      <c r="D40" s="49">
        <v>0.877</v>
      </c>
      <c r="E40" s="49">
        <v>0.86</v>
      </c>
      <c r="F40" s="49"/>
    </row>
    <row r="41" spans="1:6">
      <c r="A41" t="s">
        <v>222</v>
      </c>
      <c r="B41" s="66">
        <v>7.5</v>
      </c>
      <c r="C41" s="49">
        <v>0.88099999999999989</v>
      </c>
      <c r="D41" s="49">
        <v>0.88700000000000001</v>
      </c>
      <c r="E41" s="49">
        <v>0.872</v>
      </c>
      <c r="F41" s="49"/>
    </row>
    <row r="42" spans="1:6">
      <c r="A42" t="s">
        <v>222</v>
      </c>
      <c r="B42" s="88">
        <v>11</v>
      </c>
      <c r="C42" s="49">
        <v>0.89400000000000002</v>
      </c>
      <c r="D42" s="49">
        <v>0.89800000000000002</v>
      </c>
      <c r="E42" s="49">
        <v>0.88700000000000001</v>
      </c>
      <c r="F42" s="49"/>
    </row>
    <row r="43" spans="1:6">
      <c r="A43" t="s">
        <v>222</v>
      </c>
      <c r="B43" s="88">
        <v>15</v>
      </c>
      <c r="C43" s="49">
        <v>0.90300000000000002</v>
      </c>
      <c r="D43" s="49">
        <v>0.90599999999999992</v>
      </c>
      <c r="E43" s="49">
        <v>0.89700000000000002</v>
      </c>
      <c r="F43" s="49"/>
    </row>
    <row r="44" spans="1:6">
      <c r="A44" t="s">
        <v>222</v>
      </c>
      <c r="B44" s="88">
        <v>18.5</v>
      </c>
      <c r="C44" s="49">
        <v>0.90900000000000003</v>
      </c>
      <c r="D44" s="49">
        <v>0.91200000000000003</v>
      </c>
      <c r="E44" s="49">
        <v>0.90400000000000003</v>
      </c>
      <c r="F44" s="49"/>
    </row>
    <row r="45" spans="1:6">
      <c r="A45" t="s">
        <v>222</v>
      </c>
      <c r="B45" s="88">
        <v>22</v>
      </c>
      <c r="C45" s="49">
        <v>0.91299999999999992</v>
      </c>
      <c r="D45" s="49">
        <v>0.91599999999999993</v>
      </c>
      <c r="E45" s="49">
        <v>0.90900000000000003</v>
      </c>
      <c r="F45" s="49"/>
    </row>
    <row r="46" spans="1:6">
      <c r="A46" t="s">
        <v>222</v>
      </c>
      <c r="B46" s="88">
        <v>30</v>
      </c>
      <c r="C46" s="49">
        <v>0.92</v>
      </c>
      <c r="D46" s="49">
        <v>0.92299999999999993</v>
      </c>
      <c r="E46" s="49">
        <v>0.91700000000000004</v>
      </c>
      <c r="F46" s="49"/>
    </row>
    <row r="47" spans="1:6">
      <c r="A47" t="s">
        <v>222</v>
      </c>
      <c r="B47" s="88">
        <v>37</v>
      </c>
      <c r="C47" s="49">
        <v>0.92500000000000004</v>
      </c>
      <c r="D47" s="49">
        <v>0.92700000000000005</v>
      </c>
      <c r="E47" s="49">
        <v>0.92200000000000004</v>
      </c>
      <c r="F47" s="49"/>
    </row>
    <row r="48" spans="1:6">
      <c r="A48" t="s">
        <v>222</v>
      </c>
      <c r="B48" s="88">
        <v>45</v>
      </c>
      <c r="C48" s="49">
        <v>0.92900000000000005</v>
      </c>
      <c r="D48" s="49">
        <v>0.93099999999999994</v>
      </c>
      <c r="E48" s="49">
        <v>0.92700000000000005</v>
      </c>
      <c r="F48" s="49"/>
    </row>
    <row r="49" spans="1:6">
      <c r="A49" t="s">
        <v>222</v>
      </c>
      <c r="B49" s="88">
        <v>55</v>
      </c>
      <c r="C49" s="49">
        <v>0.93200000000000005</v>
      </c>
      <c r="D49" s="49">
        <v>0.93500000000000005</v>
      </c>
      <c r="E49" s="49">
        <v>0.93099999999999994</v>
      </c>
      <c r="F49" s="49"/>
    </row>
    <row r="50" spans="1:6">
      <c r="A50" t="s">
        <v>222</v>
      </c>
      <c r="B50" s="88">
        <v>75</v>
      </c>
      <c r="C50" s="49">
        <v>0.93799999999999994</v>
      </c>
      <c r="D50" s="49">
        <v>0.94</v>
      </c>
      <c r="E50" s="49">
        <v>0.93700000000000006</v>
      </c>
      <c r="F50" s="49"/>
    </row>
    <row r="51" spans="1:6">
      <c r="A51" t="s">
        <v>222</v>
      </c>
      <c r="B51" s="88">
        <v>90</v>
      </c>
      <c r="C51" s="49">
        <v>0.94099999999999995</v>
      </c>
      <c r="D51" s="49">
        <v>0.94200000000000006</v>
      </c>
      <c r="E51" s="49">
        <v>0.94</v>
      </c>
      <c r="F51" s="49"/>
    </row>
    <row r="52" spans="1:6">
      <c r="A52" t="s">
        <v>222</v>
      </c>
      <c r="B52" s="88">
        <v>110</v>
      </c>
      <c r="C52" s="49">
        <v>0.94299999999999995</v>
      </c>
      <c r="D52" s="49">
        <v>0.94499999999999995</v>
      </c>
      <c r="E52" s="49">
        <v>0.94299999999999995</v>
      </c>
      <c r="F52" s="49"/>
    </row>
    <row r="53" spans="1:6">
      <c r="A53" t="s">
        <v>222</v>
      </c>
      <c r="B53" s="88">
        <v>132</v>
      </c>
      <c r="C53" s="49">
        <v>0.94599999999999995</v>
      </c>
      <c r="D53" s="49">
        <v>0.94700000000000006</v>
      </c>
      <c r="E53" s="49">
        <v>0.94599999999999995</v>
      </c>
      <c r="F53" s="49"/>
    </row>
    <row r="54" spans="1:6">
      <c r="A54" t="s">
        <v>222</v>
      </c>
      <c r="B54" s="88">
        <v>160</v>
      </c>
      <c r="C54" s="49">
        <v>0.94799999999999995</v>
      </c>
      <c r="D54" s="49">
        <v>0.94900000000000007</v>
      </c>
      <c r="E54" s="49">
        <v>0.94799999999999995</v>
      </c>
      <c r="F54" s="49"/>
    </row>
    <row r="55" spans="1:6">
      <c r="A55" t="s">
        <v>222</v>
      </c>
      <c r="B55" s="88">
        <v>185</v>
      </c>
      <c r="C55" s="49">
        <v>0.95</v>
      </c>
      <c r="D55" s="49">
        <v>0.95099999999999996</v>
      </c>
      <c r="E55" s="49">
        <v>0.95</v>
      </c>
      <c r="F55" s="49"/>
    </row>
    <row r="56" spans="1:6">
      <c r="A56" t="s">
        <v>222</v>
      </c>
      <c r="B56" s="88">
        <v>200</v>
      </c>
      <c r="C56" s="49">
        <v>0.95</v>
      </c>
      <c r="D56" s="49">
        <v>0.95099999999999996</v>
      </c>
      <c r="E56" s="49">
        <v>0.95</v>
      </c>
      <c r="F56" s="49"/>
    </row>
    <row r="57" spans="1:6">
      <c r="A57" t="s">
        <v>222</v>
      </c>
      <c r="B57" s="88">
        <v>220</v>
      </c>
      <c r="C57" s="49">
        <v>0.95</v>
      </c>
      <c r="D57" s="49">
        <v>0.95099999999999996</v>
      </c>
      <c r="E57" s="49">
        <v>0.95</v>
      </c>
      <c r="F57" s="49"/>
    </row>
    <row r="58" spans="1:6">
      <c r="A58" t="s">
        <v>222</v>
      </c>
      <c r="B58" s="88">
        <v>250</v>
      </c>
      <c r="C58" s="49">
        <v>0.95</v>
      </c>
      <c r="D58" s="49">
        <v>0.95099999999999996</v>
      </c>
      <c r="E58" s="49">
        <v>0.95</v>
      </c>
      <c r="F58" s="49"/>
    </row>
    <row r="59" spans="1:6">
      <c r="A59" t="s">
        <v>222</v>
      </c>
      <c r="B59" s="88">
        <v>280</v>
      </c>
      <c r="C59" s="49">
        <v>0.95</v>
      </c>
      <c r="D59" s="49">
        <v>0.95099999999999996</v>
      </c>
      <c r="E59" s="49">
        <v>0.95</v>
      </c>
      <c r="F59" s="49"/>
    </row>
    <row r="60" spans="1:6">
      <c r="A60" t="s">
        <v>222</v>
      </c>
      <c r="B60" s="88">
        <v>300</v>
      </c>
      <c r="C60" s="49">
        <v>0.95</v>
      </c>
      <c r="D60" s="49">
        <v>0.95099999999999996</v>
      </c>
      <c r="E60" s="49">
        <v>0.95</v>
      </c>
      <c r="F60" s="49"/>
    </row>
    <row r="61" spans="1:6">
      <c r="A61" t="s">
        <v>222</v>
      </c>
      <c r="B61" s="88">
        <v>315</v>
      </c>
      <c r="C61" s="49">
        <v>0.95</v>
      </c>
      <c r="D61" s="49">
        <v>0.95099999999999996</v>
      </c>
      <c r="E61" s="49">
        <v>0.95</v>
      </c>
      <c r="F61" s="49"/>
    </row>
    <row r="62" spans="1:6">
      <c r="A62" t="s">
        <v>222</v>
      </c>
      <c r="B62" s="88">
        <v>355</v>
      </c>
      <c r="C62" s="49">
        <v>0.95</v>
      </c>
      <c r="D62" s="49">
        <v>0.95099999999999996</v>
      </c>
      <c r="E62" s="49">
        <v>0.95</v>
      </c>
      <c r="F62" s="49"/>
    </row>
    <row r="63" spans="1:6">
      <c r="A63" t="s">
        <v>222</v>
      </c>
      <c r="B63" s="88">
        <v>375</v>
      </c>
      <c r="C63" s="49">
        <v>0.95</v>
      </c>
      <c r="D63" s="49">
        <v>0.95099999999999996</v>
      </c>
      <c r="E63" s="49">
        <v>0.95</v>
      </c>
      <c r="F63" s="49"/>
    </row>
    <row r="64" spans="1:6">
      <c r="A64" t="s">
        <v>223</v>
      </c>
      <c r="B64" s="87">
        <v>0.75</v>
      </c>
      <c r="C64" s="49">
        <v>0.80700000000000005</v>
      </c>
      <c r="D64" s="49">
        <v>0.82499999999999996</v>
      </c>
      <c r="E64" s="49">
        <v>0.78900000000000003</v>
      </c>
      <c r="F64" s="49"/>
    </row>
    <row r="65" spans="1:6">
      <c r="A65" t="s">
        <v>223</v>
      </c>
      <c r="B65" s="66">
        <v>1.1000000000000001</v>
      </c>
      <c r="C65" s="49">
        <v>0.82700000000000007</v>
      </c>
      <c r="D65" s="49">
        <v>0.84099999999999997</v>
      </c>
      <c r="E65" s="49">
        <v>0.81</v>
      </c>
      <c r="F65" s="49"/>
    </row>
    <row r="66" spans="1:6">
      <c r="A66" t="s">
        <v>223</v>
      </c>
      <c r="B66" s="66">
        <v>1.5</v>
      </c>
      <c r="C66" s="49">
        <v>0.84200000000000008</v>
      </c>
      <c r="D66" s="49">
        <v>0.85299999999999998</v>
      </c>
      <c r="E66" s="49">
        <v>0.82499999999999996</v>
      </c>
      <c r="F66" s="49"/>
    </row>
    <row r="67" spans="1:6">
      <c r="A67" t="s">
        <v>223</v>
      </c>
      <c r="B67" s="66">
        <v>2.2000000000000002</v>
      </c>
      <c r="C67" s="49">
        <v>0.8590000000000001</v>
      </c>
      <c r="D67" s="49">
        <v>0.86699999999999999</v>
      </c>
      <c r="E67" s="49">
        <v>0.84299999999999997</v>
      </c>
      <c r="F67" s="49"/>
    </row>
    <row r="68" spans="1:6">
      <c r="A68" t="s">
        <v>223</v>
      </c>
      <c r="B68" s="66">
        <v>3</v>
      </c>
      <c r="C68" s="49">
        <v>0.871</v>
      </c>
      <c r="D68" s="49">
        <v>0.877</v>
      </c>
      <c r="E68" s="49">
        <v>0.85599999999999998</v>
      </c>
      <c r="F68" s="49"/>
    </row>
    <row r="69" spans="1:6">
      <c r="A69" t="s">
        <v>223</v>
      </c>
      <c r="B69" s="66">
        <v>3.7</v>
      </c>
      <c r="C69" s="49">
        <v>0.878</v>
      </c>
      <c r="D69" s="49">
        <v>0.88400000000000001</v>
      </c>
      <c r="E69" s="49">
        <v>0.86499999999999999</v>
      </c>
      <c r="F69" s="49"/>
    </row>
    <row r="70" spans="1:6">
      <c r="A70" t="s">
        <v>223</v>
      </c>
      <c r="B70" s="66">
        <v>4</v>
      </c>
      <c r="C70" s="49">
        <v>0.88099999999999989</v>
      </c>
      <c r="D70" s="49">
        <v>0.8859999999999999</v>
      </c>
      <c r="E70" s="49">
        <v>0.86799999999999999</v>
      </c>
      <c r="F70" s="49"/>
    </row>
    <row r="71" spans="1:6">
      <c r="A71" t="s">
        <v>223</v>
      </c>
      <c r="B71" s="66">
        <v>5.5</v>
      </c>
      <c r="C71" s="49">
        <v>0.89200000000000002</v>
      </c>
      <c r="D71" s="49">
        <v>0.89599999999999991</v>
      </c>
      <c r="E71" s="49">
        <v>0.88</v>
      </c>
      <c r="F71" s="49"/>
    </row>
    <row r="72" spans="1:6">
      <c r="A72" t="s">
        <v>223</v>
      </c>
      <c r="B72" s="66">
        <v>7.5</v>
      </c>
      <c r="C72" s="49">
        <v>0.90099999999999991</v>
      </c>
      <c r="D72" s="49">
        <v>0.90400000000000003</v>
      </c>
      <c r="E72" s="49">
        <v>0.8909999999999999</v>
      </c>
      <c r="F72" s="49"/>
    </row>
    <row r="73" spans="1:6">
      <c r="A73" t="s">
        <v>223</v>
      </c>
      <c r="B73" s="88">
        <v>11</v>
      </c>
      <c r="C73" s="49">
        <v>0.91200000000000003</v>
      </c>
      <c r="D73" s="49">
        <v>0.91400000000000003</v>
      </c>
      <c r="E73" s="49">
        <v>0.90300000000000002</v>
      </c>
      <c r="F73" s="49"/>
    </row>
    <row r="74" spans="1:6">
      <c r="A74" t="s">
        <v>223</v>
      </c>
      <c r="B74" s="88">
        <v>15</v>
      </c>
      <c r="C74" s="49">
        <v>0.91900000000000004</v>
      </c>
      <c r="D74" s="49">
        <v>0.92099999999999993</v>
      </c>
      <c r="E74" s="49">
        <v>0.91200000000000003</v>
      </c>
      <c r="F74" s="49"/>
    </row>
    <row r="75" spans="1:6">
      <c r="A75" t="s">
        <v>223</v>
      </c>
      <c r="B75" s="88">
        <v>18.5</v>
      </c>
      <c r="C75" s="49">
        <v>0.92400000000000004</v>
      </c>
      <c r="D75" s="49">
        <v>0.92599999999999993</v>
      </c>
      <c r="E75" s="49">
        <v>0.91700000000000004</v>
      </c>
      <c r="F75" s="49"/>
    </row>
    <row r="76" spans="1:6">
      <c r="A76" t="s">
        <v>223</v>
      </c>
      <c r="B76" s="88">
        <v>22</v>
      </c>
      <c r="C76" s="49">
        <v>0.92700000000000005</v>
      </c>
      <c r="D76" s="49">
        <v>0.93</v>
      </c>
      <c r="E76" s="49">
        <v>0.92200000000000004</v>
      </c>
      <c r="F76" s="49"/>
    </row>
    <row r="77" spans="1:6">
      <c r="A77" t="s">
        <v>223</v>
      </c>
      <c r="B77" s="88">
        <v>30</v>
      </c>
      <c r="C77" s="49">
        <v>0.93299999999999994</v>
      </c>
      <c r="D77" s="49">
        <v>0.93599999999999994</v>
      </c>
      <c r="E77" s="49">
        <v>0.92900000000000005</v>
      </c>
      <c r="F77" s="49"/>
    </row>
    <row r="78" spans="1:6">
      <c r="A78" t="s">
        <v>223</v>
      </c>
      <c r="B78" s="88">
        <v>37</v>
      </c>
      <c r="C78" s="49">
        <v>0.93700000000000006</v>
      </c>
      <c r="D78" s="49">
        <v>0.93900000000000006</v>
      </c>
      <c r="E78" s="49">
        <v>0.93299999999999994</v>
      </c>
      <c r="F78" s="49"/>
    </row>
    <row r="79" spans="1:6">
      <c r="A79" t="s">
        <v>223</v>
      </c>
      <c r="B79" s="88">
        <v>45</v>
      </c>
      <c r="C79" s="49">
        <v>0.94</v>
      </c>
      <c r="D79" s="49">
        <v>0.94200000000000006</v>
      </c>
      <c r="E79" s="49">
        <v>0.93700000000000006</v>
      </c>
      <c r="F79" s="49"/>
    </row>
    <row r="80" spans="1:6">
      <c r="A80" t="s">
        <v>223</v>
      </c>
      <c r="B80" s="88">
        <v>55</v>
      </c>
      <c r="C80" s="49">
        <v>0.94299999999999995</v>
      </c>
      <c r="D80" s="49">
        <v>0.94599999999999995</v>
      </c>
      <c r="E80" s="49">
        <v>0.94099999999999995</v>
      </c>
      <c r="F80" s="49"/>
    </row>
    <row r="81" spans="1:6">
      <c r="A81" t="s">
        <v>223</v>
      </c>
      <c r="B81" s="88">
        <v>75</v>
      </c>
      <c r="C81" s="49">
        <v>0.94700000000000006</v>
      </c>
      <c r="D81" s="49">
        <v>0.95</v>
      </c>
      <c r="E81" s="49">
        <v>0.94599999999999995</v>
      </c>
      <c r="F81" s="49"/>
    </row>
    <row r="82" spans="1:6">
      <c r="A82" t="s">
        <v>223</v>
      </c>
      <c r="B82" s="88">
        <v>90</v>
      </c>
      <c r="C82" s="49">
        <v>0.95</v>
      </c>
      <c r="D82" s="49">
        <v>0.95200000000000007</v>
      </c>
      <c r="E82" s="49">
        <v>0.94900000000000007</v>
      </c>
      <c r="F82" s="49"/>
    </row>
    <row r="83" spans="1:6">
      <c r="A83" t="s">
        <v>223</v>
      </c>
      <c r="B83" s="88">
        <v>110</v>
      </c>
      <c r="C83" s="49">
        <v>0.95200000000000007</v>
      </c>
      <c r="D83" s="49">
        <v>0.95400000000000007</v>
      </c>
      <c r="E83" s="49">
        <v>0.95099999999999996</v>
      </c>
      <c r="F83" s="49"/>
    </row>
    <row r="84" spans="1:6">
      <c r="A84" t="s">
        <v>223</v>
      </c>
      <c r="B84" s="88">
        <v>132</v>
      </c>
      <c r="C84" s="49">
        <v>0.95400000000000007</v>
      </c>
      <c r="D84" s="49">
        <v>0.95599999999999996</v>
      </c>
      <c r="E84" s="49">
        <v>0.95400000000000007</v>
      </c>
      <c r="F84" s="49"/>
    </row>
    <row r="85" spans="1:6">
      <c r="A85" t="s">
        <v>223</v>
      </c>
      <c r="B85" s="88">
        <v>160</v>
      </c>
      <c r="C85" s="49">
        <v>0.95599999999999996</v>
      </c>
      <c r="D85" s="49">
        <v>0.95799999999999996</v>
      </c>
      <c r="E85" s="49">
        <v>0.95599999999999996</v>
      </c>
      <c r="F85" s="49"/>
    </row>
    <row r="86" spans="1:6">
      <c r="A86" t="s">
        <v>223</v>
      </c>
      <c r="B86" s="88">
        <v>185</v>
      </c>
      <c r="C86" s="49">
        <v>0.95799999999999996</v>
      </c>
      <c r="D86" s="49">
        <v>0.96</v>
      </c>
      <c r="E86" s="49">
        <v>0.95799999999999996</v>
      </c>
      <c r="F86" s="49"/>
    </row>
    <row r="87" spans="1:6">
      <c r="A87" t="s">
        <v>223</v>
      </c>
      <c r="B87" s="88">
        <v>200</v>
      </c>
      <c r="C87" s="49">
        <v>0.95799999999999996</v>
      </c>
      <c r="D87" s="49">
        <v>0.96</v>
      </c>
      <c r="E87" s="49">
        <v>0.95799999999999996</v>
      </c>
      <c r="F87" s="49"/>
    </row>
    <row r="88" spans="1:6">
      <c r="A88" t="s">
        <v>223</v>
      </c>
      <c r="B88" s="88">
        <v>220</v>
      </c>
      <c r="C88" s="49">
        <v>0.95799999999999996</v>
      </c>
      <c r="D88" s="49">
        <v>0.96</v>
      </c>
      <c r="E88" s="49">
        <v>0.95799999999999996</v>
      </c>
      <c r="F88" s="49"/>
    </row>
    <row r="89" spans="1:6">
      <c r="A89" t="s">
        <v>223</v>
      </c>
      <c r="B89" s="88">
        <v>250</v>
      </c>
      <c r="C89" s="49">
        <v>0.95799999999999996</v>
      </c>
      <c r="D89" s="49">
        <v>0.96</v>
      </c>
      <c r="E89" s="49">
        <v>0.95799999999999996</v>
      </c>
      <c r="F89" s="49"/>
    </row>
    <row r="90" spans="1:6">
      <c r="A90" t="s">
        <v>223</v>
      </c>
      <c r="B90" s="88">
        <v>280</v>
      </c>
      <c r="C90" s="49">
        <v>0.95799999999999996</v>
      </c>
      <c r="D90" s="49">
        <v>0.96</v>
      </c>
      <c r="E90" s="49">
        <v>0.95799999999999996</v>
      </c>
      <c r="F90" s="49"/>
    </row>
    <row r="91" spans="1:6">
      <c r="A91" t="s">
        <v>223</v>
      </c>
      <c r="B91" s="88">
        <v>300</v>
      </c>
      <c r="C91" s="49">
        <v>0.95799999999999996</v>
      </c>
      <c r="D91" s="49">
        <v>0.96</v>
      </c>
      <c r="E91" s="49">
        <v>0.95799999999999996</v>
      </c>
      <c r="F91" s="49"/>
    </row>
    <row r="92" spans="1:6">
      <c r="A92" t="s">
        <v>223</v>
      </c>
      <c r="B92" s="88">
        <v>315</v>
      </c>
      <c r="C92" s="49">
        <v>0.95799999999999996</v>
      </c>
      <c r="D92" s="49">
        <v>0.96</v>
      </c>
      <c r="E92" s="49">
        <v>0.95799999999999996</v>
      </c>
      <c r="F92" s="49"/>
    </row>
    <row r="93" spans="1:6">
      <c r="A93" t="s">
        <v>223</v>
      </c>
      <c r="B93" s="88">
        <v>355</v>
      </c>
      <c r="C93" s="49">
        <v>0.95799999999999996</v>
      </c>
      <c r="D93" s="49">
        <v>0.96</v>
      </c>
      <c r="E93" s="49">
        <v>0.95799999999999996</v>
      </c>
      <c r="F93" s="49"/>
    </row>
    <row r="94" spans="1:6">
      <c r="A94" t="s">
        <v>223</v>
      </c>
      <c r="B94" s="88">
        <v>375</v>
      </c>
      <c r="C94" s="49">
        <v>0.95799999999999996</v>
      </c>
      <c r="D94" s="49">
        <v>0.96</v>
      </c>
      <c r="E94" s="49">
        <v>0.95799999999999996</v>
      </c>
      <c r="F94" s="49"/>
    </row>
    <row r="95" spans="1:6">
      <c r="A95" t="s">
        <v>224</v>
      </c>
      <c r="B95" s="87">
        <v>0.75</v>
      </c>
      <c r="C95" s="49">
        <v>0.83499999999999996</v>
      </c>
      <c r="D95" s="49">
        <v>0.85699999999999998</v>
      </c>
      <c r="E95" s="49">
        <v>0.82700000000000007</v>
      </c>
      <c r="F95" s="49">
        <v>0.78400000000000003</v>
      </c>
    </row>
    <row r="96" spans="1:6">
      <c r="A96" t="s">
        <v>224</v>
      </c>
      <c r="B96" s="66">
        <v>1.1000000000000001</v>
      </c>
      <c r="C96" s="49">
        <v>0.85199999999999998</v>
      </c>
      <c r="D96" s="49">
        <v>0.872</v>
      </c>
      <c r="E96" s="49">
        <v>0.84499999999999997</v>
      </c>
      <c r="F96" s="49">
        <v>0.80799999999999994</v>
      </c>
    </row>
    <row r="97" spans="1:6">
      <c r="A97" t="s">
        <v>224</v>
      </c>
      <c r="B97" s="66">
        <v>1.5</v>
      </c>
      <c r="C97" s="49">
        <v>0.86499999999999999</v>
      </c>
      <c r="D97" s="49">
        <v>0.88200000000000001</v>
      </c>
      <c r="E97" s="49">
        <v>0.8590000000000001</v>
      </c>
      <c r="F97" s="49">
        <v>0.82599999999999996</v>
      </c>
    </row>
    <row r="98" spans="1:6">
      <c r="A98" t="s">
        <v>224</v>
      </c>
      <c r="B98" s="66">
        <v>2.2000000000000002</v>
      </c>
      <c r="C98" s="49">
        <v>0.88</v>
      </c>
      <c r="D98" s="49">
        <v>0.89500000000000002</v>
      </c>
      <c r="E98" s="49">
        <v>0.87400000000000011</v>
      </c>
      <c r="F98" s="49">
        <v>0.84499999999999997</v>
      </c>
    </row>
    <row r="99" spans="1:6">
      <c r="A99" t="s">
        <v>224</v>
      </c>
      <c r="B99" s="66">
        <v>3</v>
      </c>
      <c r="C99" s="49">
        <v>0.8909999999999999</v>
      </c>
      <c r="D99" s="49">
        <v>0.90400000000000003</v>
      </c>
      <c r="E99" s="49">
        <v>0.8859999999999999</v>
      </c>
      <c r="F99" s="49">
        <v>0.8590000000000001</v>
      </c>
    </row>
    <row r="100" spans="1:6">
      <c r="A100" t="s">
        <v>224</v>
      </c>
      <c r="B100" s="66">
        <v>3.7</v>
      </c>
      <c r="C100" s="49">
        <v>0.89700000000000002</v>
      </c>
      <c r="D100" s="49">
        <v>0.90900000000000003</v>
      </c>
      <c r="E100" s="49">
        <v>0.89300000000000002</v>
      </c>
      <c r="F100" s="49">
        <v>0.86799999999999999</v>
      </c>
    </row>
    <row r="101" spans="1:6">
      <c r="A101" t="s">
        <v>224</v>
      </c>
      <c r="B101" s="66">
        <v>4</v>
      </c>
      <c r="C101" s="49">
        <v>0.9</v>
      </c>
      <c r="D101" s="49">
        <v>0.91099999999999992</v>
      </c>
      <c r="E101" s="49">
        <v>0.89500000000000002</v>
      </c>
      <c r="F101" s="49">
        <v>0.871</v>
      </c>
    </row>
    <row r="102" spans="1:6">
      <c r="A102" t="s">
        <v>224</v>
      </c>
      <c r="B102" s="66">
        <v>5.5</v>
      </c>
      <c r="C102" s="49">
        <v>0.90900000000000003</v>
      </c>
      <c r="D102" s="49">
        <v>0.91900000000000004</v>
      </c>
      <c r="E102" s="49">
        <v>0.90500000000000003</v>
      </c>
      <c r="F102" s="49">
        <v>0.88300000000000001</v>
      </c>
    </row>
    <row r="103" spans="1:6">
      <c r="A103" t="s">
        <v>224</v>
      </c>
      <c r="B103" s="66">
        <v>7.5</v>
      </c>
      <c r="C103" s="49">
        <v>0.91700000000000004</v>
      </c>
      <c r="D103" s="49">
        <v>0.92599999999999993</v>
      </c>
      <c r="E103" s="49">
        <v>0.91299999999999992</v>
      </c>
      <c r="F103" s="49">
        <v>0.89300000000000002</v>
      </c>
    </row>
    <row r="104" spans="1:6">
      <c r="A104" t="s">
        <v>224</v>
      </c>
      <c r="B104" s="88">
        <v>11</v>
      </c>
      <c r="C104" s="49">
        <v>0.92599999999999993</v>
      </c>
      <c r="D104" s="49">
        <v>0.93299999999999994</v>
      </c>
      <c r="E104" s="49">
        <v>0.92299999999999993</v>
      </c>
      <c r="F104" s="49">
        <v>0.90400000000000003</v>
      </c>
    </row>
    <row r="105" spans="1:6">
      <c r="A105" t="s">
        <v>224</v>
      </c>
      <c r="B105" s="88">
        <v>15</v>
      </c>
      <c r="C105" s="49">
        <v>0.93299999999999994</v>
      </c>
      <c r="D105" s="49">
        <v>0.93900000000000006</v>
      </c>
      <c r="E105" s="49">
        <v>0.92900000000000005</v>
      </c>
      <c r="F105" s="49">
        <v>0.91200000000000003</v>
      </c>
    </row>
    <row r="106" spans="1:6">
      <c r="A106" t="s">
        <v>224</v>
      </c>
      <c r="B106" s="88">
        <v>18.5</v>
      </c>
      <c r="C106" s="49">
        <v>0.93700000000000006</v>
      </c>
      <c r="D106" s="49">
        <v>0.94200000000000006</v>
      </c>
      <c r="E106" s="49">
        <v>0.93400000000000005</v>
      </c>
      <c r="F106" s="49">
        <v>0.91700000000000004</v>
      </c>
    </row>
    <row r="107" spans="1:6">
      <c r="A107" t="s">
        <v>224</v>
      </c>
      <c r="B107" s="88">
        <v>22</v>
      </c>
      <c r="C107" s="49">
        <v>0.94</v>
      </c>
      <c r="D107" s="49">
        <v>0.94499999999999995</v>
      </c>
      <c r="E107" s="49">
        <v>0.93700000000000006</v>
      </c>
      <c r="F107" s="49">
        <v>0.92099999999999993</v>
      </c>
    </row>
    <row r="108" spans="1:6">
      <c r="A108" t="s">
        <v>224</v>
      </c>
      <c r="B108" s="88">
        <v>30</v>
      </c>
      <c r="C108" s="49">
        <v>0.94499999999999995</v>
      </c>
      <c r="D108" s="49">
        <v>0.94900000000000007</v>
      </c>
      <c r="E108" s="49">
        <v>0.94200000000000006</v>
      </c>
      <c r="F108" s="49">
        <v>0.92700000000000005</v>
      </c>
    </row>
    <row r="109" spans="1:6">
      <c r="A109" t="s">
        <v>224</v>
      </c>
      <c r="B109" s="88">
        <v>37</v>
      </c>
      <c r="C109" s="49">
        <v>0.94799999999999995</v>
      </c>
      <c r="D109" s="49">
        <v>0.95200000000000007</v>
      </c>
      <c r="E109" s="49">
        <v>0.94499999999999995</v>
      </c>
      <c r="F109" s="49">
        <v>0.93099999999999994</v>
      </c>
    </row>
    <row r="110" spans="1:6">
      <c r="A110" t="s">
        <v>224</v>
      </c>
      <c r="B110" s="88">
        <v>45</v>
      </c>
      <c r="C110" s="49">
        <v>0.95</v>
      </c>
      <c r="D110" s="49">
        <v>0.95400000000000007</v>
      </c>
      <c r="E110" s="49">
        <v>0.94799999999999995</v>
      </c>
      <c r="F110" s="49">
        <v>0.93400000000000005</v>
      </c>
    </row>
    <row r="111" spans="1:6">
      <c r="A111" t="s">
        <v>224</v>
      </c>
      <c r="B111" s="88">
        <v>55</v>
      </c>
      <c r="C111" s="49">
        <v>0.95299999999999996</v>
      </c>
      <c r="D111" s="49">
        <v>0.95700000000000007</v>
      </c>
      <c r="E111" s="49">
        <v>0.95099999999999996</v>
      </c>
      <c r="F111" s="49">
        <v>0.93700000000000006</v>
      </c>
    </row>
    <row r="112" spans="1:6">
      <c r="A112" t="s">
        <v>224</v>
      </c>
      <c r="B112" s="88">
        <v>75</v>
      </c>
      <c r="C112" s="49">
        <v>0.95599999999999996</v>
      </c>
      <c r="D112" s="49">
        <v>0.96</v>
      </c>
      <c r="E112" s="49">
        <v>0.95400000000000007</v>
      </c>
      <c r="F112" s="49">
        <v>0.94200000000000006</v>
      </c>
    </row>
    <row r="113" spans="1:6">
      <c r="A113" t="s">
        <v>224</v>
      </c>
      <c r="B113" s="88">
        <v>90</v>
      </c>
      <c r="C113" s="49">
        <v>0.95799999999999996</v>
      </c>
      <c r="D113" s="49">
        <v>0.96099999999999997</v>
      </c>
      <c r="E113" s="49">
        <v>0.95599999999999996</v>
      </c>
      <c r="F113" s="49">
        <v>0.94400000000000006</v>
      </c>
    </row>
    <row r="114" spans="1:6">
      <c r="A114" t="s">
        <v>224</v>
      </c>
      <c r="B114" s="88">
        <v>110</v>
      </c>
      <c r="C114" s="49">
        <v>0.96</v>
      </c>
      <c r="D114" s="49">
        <v>0.96299999999999997</v>
      </c>
      <c r="E114" s="49">
        <v>0.95799999999999996</v>
      </c>
      <c r="F114" s="49">
        <v>0.94700000000000006</v>
      </c>
    </row>
    <row r="115" spans="1:6">
      <c r="A115" t="s">
        <v>224</v>
      </c>
      <c r="B115" s="88">
        <v>132</v>
      </c>
      <c r="C115" s="49">
        <v>0.96200000000000008</v>
      </c>
      <c r="D115" s="49">
        <v>0.96400000000000008</v>
      </c>
      <c r="E115" s="49">
        <v>0.96</v>
      </c>
      <c r="F115" s="49">
        <v>0.94900000000000007</v>
      </c>
    </row>
    <row r="116" spans="1:6">
      <c r="A116" t="s">
        <v>224</v>
      </c>
      <c r="B116" s="88">
        <v>160</v>
      </c>
      <c r="C116" s="49">
        <v>0.96299999999999997</v>
      </c>
      <c r="D116" s="49">
        <v>0.96599999999999997</v>
      </c>
      <c r="E116" s="49">
        <v>0.96200000000000008</v>
      </c>
      <c r="F116" s="49">
        <v>0.95099999999999996</v>
      </c>
    </row>
    <row r="117" spans="1:6">
      <c r="A117" t="s">
        <v>224</v>
      </c>
      <c r="B117" s="88">
        <v>200</v>
      </c>
      <c r="C117" s="49">
        <v>0.96499999999999997</v>
      </c>
      <c r="D117" s="49">
        <v>0.96700000000000008</v>
      </c>
      <c r="E117" s="49">
        <v>0.96299999999999997</v>
      </c>
      <c r="F117" s="49">
        <v>0.95400000000000007</v>
      </c>
    </row>
    <row r="118" spans="1:6">
      <c r="A118" t="s">
        <v>224</v>
      </c>
      <c r="B118" s="88">
        <v>250</v>
      </c>
      <c r="C118" s="49">
        <v>0.96499999999999997</v>
      </c>
      <c r="D118" s="49">
        <v>0.96700000000000008</v>
      </c>
      <c r="E118" s="49">
        <v>0.96499999999999997</v>
      </c>
      <c r="F118" s="49">
        <v>0.95400000000000007</v>
      </c>
    </row>
    <row r="119" spans="1:6">
      <c r="A119" t="s">
        <v>224</v>
      </c>
      <c r="B119" s="88">
        <v>315</v>
      </c>
      <c r="C119" s="92">
        <v>0.96499999999999997</v>
      </c>
      <c r="D119" s="92">
        <v>0.96700000000000008</v>
      </c>
      <c r="E119" s="92">
        <v>0.96599999999999997</v>
      </c>
      <c r="F119" s="92">
        <v>0.95400000000000007</v>
      </c>
    </row>
    <row r="120" spans="1:6">
      <c r="A120" t="s">
        <v>224</v>
      </c>
      <c r="B120" s="89">
        <v>355</v>
      </c>
      <c r="C120" s="92">
        <v>0.96499999999999997</v>
      </c>
      <c r="D120" s="92">
        <v>0.96700000000000008</v>
      </c>
      <c r="E120" s="92">
        <v>0.96599999999999997</v>
      </c>
      <c r="F120" s="92">
        <v>0.95400000000000007</v>
      </c>
    </row>
    <row r="121" spans="1:6">
      <c r="A121" t="s">
        <v>224</v>
      </c>
      <c r="B121" s="89">
        <v>375</v>
      </c>
      <c r="C121" s="49">
        <v>0.96499999999999997</v>
      </c>
      <c r="D121" s="49">
        <v>0.96700000000000008</v>
      </c>
      <c r="E121" s="49">
        <v>0.96599999999999997</v>
      </c>
      <c r="F121" s="49">
        <v>0.95400000000000007</v>
      </c>
    </row>
    <row r="122" spans="1:6">
      <c r="A122" t="s">
        <v>224</v>
      </c>
      <c r="B122" s="88">
        <v>1000</v>
      </c>
      <c r="C122" s="92">
        <v>0.96499999999999997</v>
      </c>
      <c r="D122" s="92">
        <v>0.96700000000000008</v>
      </c>
      <c r="E122" s="92">
        <v>0.96599999999999997</v>
      </c>
      <c r="F122" s="92">
        <v>0.95400000000000007</v>
      </c>
    </row>
  </sheetData>
  <sheetProtection algorithmName="SHA-512" hashValue="Zjo5JPrTLqeqPPUl8WcuZilSWQuM+INKg3dI1EQz8Yvty7r/2CxOJYSFJazIqcycBiz2EpS8VKwhptCqs5zMFQ==" saltValue="kxFx8vLiAZwLGFRwTYGhkA==" spinCount="100000" sheet="1" objects="1" scenarios="1"/>
  <phoneticPr fontId="6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workbookViewId="0"/>
  </sheetViews>
  <sheetFormatPr defaultRowHeight="18"/>
  <cols>
    <col min="1" max="1" width="3" customWidth="1"/>
    <col min="2" max="4" width="17.5" customWidth="1"/>
    <col min="5" max="5" width="3" customWidth="1"/>
    <col min="6" max="8" width="17.5" customWidth="1"/>
    <col min="9" max="9" width="3" customWidth="1"/>
    <col min="10" max="10" width="8.1640625" style="66" customWidth="1"/>
    <col min="11" max="11" width="8.1640625" style="71" customWidth="1"/>
    <col min="12" max="12" width="1.5" style="71" customWidth="1"/>
    <col min="13" max="14" width="8.1640625" style="71" customWidth="1"/>
    <col min="15" max="15" width="1.5" style="71" customWidth="1"/>
    <col min="16" max="17" width="8.1640625" style="71" customWidth="1"/>
  </cols>
  <sheetData>
    <row r="2" spans="2:17">
      <c r="B2" s="678" t="s">
        <v>232</v>
      </c>
      <c r="C2" s="678"/>
      <c r="D2" s="678"/>
      <c r="E2" s="64"/>
      <c r="F2" s="678" t="s">
        <v>321</v>
      </c>
      <c r="G2" s="678"/>
      <c r="H2" s="678"/>
      <c r="J2" s="679" t="s">
        <v>346</v>
      </c>
      <c r="K2" s="679"/>
      <c r="L2" s="679"/>
      <c r="M2" s="679"/>
      <c r="N2" s="679"/>
      <c r="O2" s="679"/>
      <c r="P2" s="679"/>
      <c r="Q2" s="679"/>
    </row>
    <row r="3" spans="2:17">
      <c r="B3" s="65" t="s">
        <v>347</v>
      </c>
      <c r="C3" s="65" t="s">
        <v>348</v>
      </c>
      <c r="D3" s="65" t="s">
        <v>349</v>
      </c>
      <c r="E3" s="64"/>
      <c r="F3" s="65" t="s">
        <v>350</v>
      </c>
      <c r="G3" s="65" t="s">
        <v>348</v>
      </c>
      <c r="H3" s="65" t="s">
        <v>349</v>
      </c>
      <c r="J3" s="65" t="s">
        <v>17</v>
      </c>
      <c r="K3" s="68" t="s">
        <v>233</v>
      </c>
      <c r="L3" s="69"/>
      <c r="M3" s="68" t="s">
        <v>17</v>
      </c>
      <c r="N3" s="68" t="s">
        <v>233</v>
      </c>
      <c r="O3" s="69"/>
      <c r="P3" s="68" t="s">
        <v>17</v>
      </c>
      <c r="Q3" s="68" t="s">
        <v>233</v>
      </c>
    </row>
    <row r="4" spans="2:17">
      <c r="B4" s="6" t="s">
        <v>234</v>
      </c>
      <c r="C4" s="6" t="s">
        <v>235</v>
      </c>
      <c r="D4" s="6" t="s">
        <v>236</v>
      </c>
      <c r="E4" s="64"/>
      <c r="F4" s="6" t="s">
        <v>322</v>
      </c>
      <c r="G4" s="6" t="s">
        <v>323</v>
      </c>
      <c r="H4" s="6" t="s">
        <v>324</v>
      </c>
      <c r="J4" s="67">
        <v>1</v>
      </c>
      <c r="K4" s="70">
        <v>900</v>
      </c>
      <c r="M4" s="70">
        <v>10.6</v>
      </c>
      <c r="N4" s="70">
        <v>9500</v>
      </c>
      <c r="P4" s="70">
        <v>67</v>
      </c>
      <c r="Q4" s="70">
        <v>60000</v>
      </c>
    </row>
    <row r="5" spans="2:17">
      <c r="B5" s="6" t="s">
        <v>237</v>
      </c>
      <c r="C5" s="6" t="s">
        <v>238</v>
      </c>
      <c r="D5" s="6" t="s">
        <v>239</v>
      </c>
      <c r="E5" s="64"/>
      <c r="F5" s="6" t="s">
        <v>240</v>
      </c>
      <c r="G5" s="6" t="s">
        <v>241</v>
      </c>
      <c r="H5" s="6" t="s">
        <v>325</v>
      </c>
      <c r="J5" s="67">
        <v>1.1000000000000001</v>
      </c>
      <c r="K5" s="70">
        <v>1000</v>
      </c>
      <c r="M5" s="70">
        <v>11.2</v>
      </c>
      <c r="N5" s="70">
        <v>10000</v>
      </c>
      <c r="P5" s="70">
        <v>71</v>
      </c>
      <c r="Q5" s="70">
        <v>63000</v>
      </c>
    </row>
    <row r="6" spans="2:17">
      <c r="B6" s="6" t="s">
        <v>240</v>
      </c>
      <c r="C6" s="6" t="s">
        <v>241</v>
      </c>
      <c r="D6" s="6" t="s">
        <v>242</v>
      </c>
      <c r="E6" s="64"/>
      <c r="F6" s="6" t="s">
        <v>246</v>
      </c>
      <c r="G6" s="6" t="s">
        <v>247</v>
      </c>
      <c r="H6" s="6" t="s">
        <v>245</v>
      </c>
      <c r="J6" s="67">
        <v>1.2</v>
      </c>
      <c r="K6" s="70">
        <v>1120</v>
      </c>
      <c r="M6" s="70">
        <v>11.8</v>
      </c>
      <c r="N6" s="70">
        <v>10600</v>
      </c>
      <c r="P6" s="70">
        <v>75</v>
      </c>
      <c r="Q6" s="70">
        <v>67000</v>
      </c>
    </row>
    <row r="7" spans="2:17">
      <c r="B7" s="6" t="s">
        <v>243</v>
      </c>
      <c r="C7" s="6" t="s">
        <v>244</v>
      </c>
      <c r="D7" s="6" t="s">
        <v>245</v>
      </c>
      <c r="E7" s="64"/>
      <c r="F7" s="6" t="s">
        <v>252</v>
      </c>
      <c r="G7" s="6" t="s">
        <v>253</v>
      </c>
      <c r="H7" s="6" t="s">
        <v>248</v>
      </c>
      <c r="J7" s="67">
        <v>1.4</v>
      </c>
      <c r="K7" s="70">
        <v>1250</v>
      </c>
      <c r="M7" s="70">
        <v>12.5</v>
      </c>
      <c r="N7" s="70">
        <v>11200</v>
      </c>
      <c r="P7" s="70">
        <v>80</v>
      </c>
      <c r="Q7" s="70">
        <v>71000</v>
      </c>
    </row>
    <row r="8" spans="2:17">
      <c r="B8" s="6" t="s">
        <v>246</v>
      </c>
      <c r="C8" s="6" t="s">
        <v>247</v>
      </c>
      <c r="D8" s="6" t="s">
        <v>248</v>
      </c>
      <c r="E8" s="64"/>
      <c r="F8" s="6" t="s">
        <v>255</v>
      </c>
      <c r="G8" s="6" t="s">
        <v>256</v>
      </c>
      <c r="H8" s="6" t="s">
        <v>251</v>
      </c>
      <c r="J8" s="67">
        <v>1.6</v>
      </c>
      <c r="K8" s="70">
        <v>1400</v>
      </c>
      <c r="M8" s="70">
        <v>13.2</v>
      </c>
      <c r="N8" s="70">
        <v>11800</v>
      </c>
      <c r="P8" s="70">
        <v>85</v>
      </c>
      <c r="Q8" s="70">
        <v>75000</v>
      </c>
    </row>
    <row r="9" spans="2:17">
      <c r="B9" s="6" t="s">
        <v>249</v>
      </c>
      <c r="C9" s="6" t="s">
        <v>250</v>
      </c>
      <c r="D9" s="6" t="s">
        <v>251</v>
      </c>
      <c r="E9" s="64"/>
      <c r="F9" s="6" t="s">
        <v>261</v>
      </c>
      <c r="G9" s="6" t="s">
        <v>262</v>
      </c>
      <c r="H9" s="6" t="s">
        <v>257</v>
      </c>
      <c r="J9" s="67">
        <v>1.8</v>
      </c>
      <c r="K9" s="70">
        <v>1600</v>
      </c>
      <c r="M9" s="70">
        <v>14</v>
      </c>
      <c r="N9" s="70">
        <v>12500</v>
      </c>
      <c r="P9" s="70">
        <v>90</v>
      </c>
      <c r="Q9" s="70">
        <v>80000</v>
      </c>
    </row>
    <row r="10" spans="2:17">
      <c r="B10" s="6" t="s">
        <v>252</v>
      </c>
      <c r="C10" s="6" t="s">
        <v>253</v>
      </c>
      <c r="D10" s="6" t="s">
        <v>254</v>
      </c>
      <c r="E10" s="64"/>
      <c r="F10" s="6" t="s">
        <v>326</v>
      </c>
      <c r="G10" s="6" t="s">
        <v>327</v>
      </c>
      <c r="H10" s="6" t="s">
        <v>263</v>
      </c>
      <c r="J10" s="67">
        <v>2</v>
      </c>
      <c r="K10" s="70">
        <v>1800</v>
      </c>
      <c r="M10" s="70">
        <v>15</v>
      </c>
      <c r="N10" s="70">
        <v>13200</v>
      </c>
      <c r="P10" s="70">
        <v>95</v>
      </c>
      <c r="Q10" s="70">
        <v>85000</v>
      </c>
    </row>
    <row r="11" spans="2:17">
      <c r="B11" s="6" t="s">
        <v>255</v>
      </c>
      <c r="C11" s="6" t="s">
        <v>256</v>
      </c>
      <c r="D11" s="6" t="s">
        <v>257</v>
      </c>
      <c r="E11" s="64"/>
      <c r="F11" s="6" t="s">
        <v>328</v>
      </c>
      <c r="G11" s="6" t="s">
        <v>329</v>
      </c>
      <c r="H11" s="6" t="s">
        <v>269</v>
      </c>
      <c r="J11" s="67">
        <v>2.2000000000000002</v>
      </c>
      <c r="K11" s="70">
        <v>2000</v>
      </c>
      <c r="M11" s="70">
        <v>16</v>
      </c>
      <c r="N11" s="70">
        <v>14000</v>
      </c>
      <c r="P11" s="70">
        <v>100</v>
      </c>
      <c r="Q11" s="70">
        <v>90000</v>
      </c>
    </row>
    <row r="12" spans="2:17">
      <c r="B12" s="6" t="s">
        <v>258</v>
      </c>
      <c r="C12" s="6" t="s">
        <v>259</v>
      </c>
      <c r="D12" s="6" t="s">
        <v>260</v>
      </c>
      <c r="E12" s="64"/>
      <c r="F12" s="6" t="s">
        <v>273</v>
      </c>
      <c r="G12" s="6" t="s">
        <v>274</v>
      </c>
      <c r="H12" s="6" t="s">
        <v>272</v>
      </c>
      <c r="J12" s="67">
        <v>2.5</v>
      </c>
      <c r="K12" s="70">
        <v>2240</v>
      </c>
      <c r="M12" s="70">
        <v>17</v>
      </c>
      <c r="N12" s="70">
        <v>15000</v>
      </c>
      <c r="P12" s="70">
        <v>106</v>
      </c>
      <c r="Q12" s="70">
        <v>95000</v>
      </c>
    </row>
    <row r="13" spans="2:17">
      <c r="B13" s="6" t="s">
        <v>261</v>
      </c>
      <c r="C13" s="6" t="s">
        <v>262</v>
      </c>
      <c r="D13" s="6" t="s">
        <v>263</v>
      </c>
      <c r="E13" s="64"/>
      <c r="F13" s="6" t="s">
        <v>330</v>
      </c>
      <c r="G13" s="6" t="s">
        <v>331</v>
      </c>
      <c r="H13" s="6" t="s">
        <v>281</v>
      </c>
      <c r="J13" s="67">
        <v>2.8</v>
      </c>
      <c r="K13" s="70">
        <v>2500</v>
      </c>
      <c r="M13" s="70">
        <v>18</v>
      </c>
      <c r="N13" s="70">
        <v>16000</v>
      </c>
      <c r="P13" s="70">
        <v>112</v>
      </c>
      <c r="Q13" s="70">
        <v>100000</v>
      </c>
    </row>
    <row r="14" spans="2:17">
      <c r="B14" s="6" t="s">
        <v>264</v>
      </c>
      <c r="C14" s="6" t="s">
        <v>265</v>
      </c>
      <c r="D14" s="6" t="s">
        <v>266</v>
      </c>
      <c r="E14" s="64"/>
      <c r="F14" s="6" t="s">
        <v>332</v>
      </c>
      <c r="G14" s="6" t="s">
        <v>333</v>
      </c>
      <c r="H14" s="6" t="s">
        <v>284</v>
      </c>
      <c r="J14" s="67">
        <v>3</v>
      </c>
      <c r="K14" s="70">
        <v>2650</v>
      </c>
      <c r="M14" s="70">
        <v>19</v>
      </c>
      <c r="N14" s="70">
        <v>17000</v>
      </c>
      <c r="P14" s="70">
        <v>118</v>
      </c>
      <c r="Q14" s="70">
        <v>106000</v>
      </c>
    </row>
    <row r="15" spans="2:17">
      <c r="B15" s="6" t="s">
        <v>267</v>
      </c>
      <c r="C15" s="6" t="s">
        <v>268</v>
      </c>
      <c r="D15" s="6" t="s">
        <v>269</v>
      </c>
      <c r="E15" s="64"/>
      <c r="F15" s="6" t="s">
        <v>334</v>
      </c>
      <c r="G15" s="6" t="s">
        <v>335</v>
      </c>
      <c r="H15" s="6" t="s">
        <v>290</v>
      </c>
      <c r="J15" s="67">
        <v>3.2</v>
      </c>
      <c r="K15" s="70">
        <v>2800</v>
      </c>
      <c r="M15" s="70">
        <v>20</v>
      </c>
      <c r="N15" s="70">
        <v>18000</v>
      </c>
      <c r="P15" s="70">
        <v>125</v>
      </c>
      <c r="Q15" s="70">
        <v>112000</v>
      </c>
    </row>
    <row r="16" spans="2:17">
      <c r="B16" s="6" t="s">
        <v>270</v>
      </c>
      <c r="C16" s="6" t="s">
        <v>271</v>
      </c>
      <c r="D16" s="6" t="s">
        <v>272</v>
      </c>
      <c r="E16" s="64"/>
      <c r="F16" s="6" t="s">
        <v>297</v>
      </c>
      <c r="G16" s="6" t="s">
        <v>298</v>
      </c>
      <c r="H16" s="6" t="s">
        <v>296</v>
      </c>
      <c r="J16" s="67">
        <v>3.4</v>
      </c>
      <c r="K16" s="70">
        <v>3000</v>
      </c>
      <c r="M16" s="70">
        <v>21.2</v>
      </c>
      <c r="N16" s="70">
        <v>19000</v>
      </c>
      <c r="P16" s="70">
        <v>132</v>
      </c>
      <c r="Q16" s="70">
        <v>118000</v>
      </c>
    </row>
    <row r="17" spans="2:17">
      <c r="B17" s="6" t="s">
        <v>273</v>
      </c>
      <c r="C17" s="6" t="s">
        <v>274</v>
      </c>
      <c r="D17" s="6" t="s">
        <v>275</v>
      </c>
      <c r="E17" s="64"/>
      <c r="F17" s="6" t="s">
        <v>300</v>
      </c>
      <c r="G17" s="6" t="s">
        <v>301</v>
      </c>
      <c r="H17" s="6" t="s">
        <v>299</v>
      </c>
      <c r="J17" s="67">
        <v>3.6</v>
      </c>
      <c r="K17" s="70">
        <v>3150</v>
      </c>
      <c r="M17" s="70">
        <v>22.4</v>
      </c>
      <c r="N17" s="70">
        <v>20000</v>
      </c>
      <c r="P17" s="70">
        <v>140</v>
      </c>
      <c r="Q17" s="70">
        <v>125000</v>
      </c>
    </row>
    <row r="18" spans="2:17">
      <c r="B18" s="6" t="s">
        <v>276</v>
      </c>
      <c r="C18" s="6" t="s">
        <v>277</v>
      </c>
      <c r="D18" s="6" t="s">
        <v>278</v>
      </c>
      <c r="E18" s="64"/>
      <c r="F18" s="6" t="s">
        <v>336</v>
      </c>
      <c r="G18" s="6" t="s">
        <v>337</v>
      </c>
      <c r="H18" s="6" t="s">
        <v>302</v>
      </c>
      <c r="J18" s="67">
        <v>3.8</v>
      </c>
      <c r="K18" s="70">
        <v>3350</v>
      </c>
      <c r="M18" s="70">
        <v>23.6</v>
      </c>
      <c r="N18" s="70">
        <v>21200</v>
      </c>
      <c r="P18" s="70">
        <v>150</v>
      </c>
      <c r="Q18" s="70">
        <v>132000</v>
      </c>
    </row>
    <row r="19" spans="2:17">
      <c r="B19" s="6" t="s">
        <v>279</v>
      </c>
      <c r="C19" s="6" t="s">
        <v>280</v>
      </c>
      <c r="D19" s="6" t="s">
        <v>281</v>
      </c>
      <c r="E19" s="64"/>
      <c r="F19" s="6" t="s">
        <v>338</v>
      </c>
      <c r="G19" s="6" t="s">
        <v>339</v>
      </c>
      <c r="H19" s="6" t="s">
        <v>305</v>
      </c>
      <c r="J19" s="67">
        <v>4</v>
      </c>
      <c r="K19" s="70">
        <v>3550</v>
      </c>
      <c r="M19" s="70">
        <v>25</v>
      </c>
      <c r="N19" s="70">
        <v>22400</v>
      </c>
      <c r="P19" s="70">
        <v>160</v>
      </c>
      <c r="Q19" s="70">
        <v>140000</v>
      </c>
    </row>
    <row r="20" spans="2:17">
      <c r="B20" s="6" t="s">
        <v>282</v>
      </c>
      <c r="C20" s="6" t="s">
        <v>283</v>
      </c>
      <c r="D20" s="6" t="s">
        <v>284</v>
      </c>
      <c r="E20" s="64"/>
      <c r="F20" s="6" t="s">
        <v>309</v>
      </c>
      <c r="G20" s="6" t="s">
        <v>310</v>
      </c>
      <c r="H20" s="6" t="s">
        <v>308</v>
      </c>
      <c r="J20" s="67">
        <v>4.2</v>
      </c>
      <c r="K20" s="70">
        <v>3750</v>
      </c>
      <c r="M20" s="70">
        <v>26.5</v>
      </c>
      <c r="N20" s="70">
        <v>23600</v>
      </c>
      <c r="P20" s="70">
        <v>170</v>
      </c>
      <c r="Q20" s="70">
        <v>150000</v>
      </c>
    </row>
    <row r="21" spans="2:17">
      <c r="B21" s="6" t="s">
        <v>285</v>
      </c>
      <c r="C21" s="6" t="s">
        <v>286</v>
      </c>
      <c r="D21" s="6" t="s">
        <v>287</v>
      </c>
      <c r="E21" s="64"/>
      <c r="F21" s="6" t="s">
        <v>340</v>
      </c>
      <c r="G21" s="6" t="s">
        <v>341</v>
      </c>
      <c r="H21" s="6" t="s">
        <v>311</v>
      </c>
      <c r="J21" s="67">
        <v>4.5</v>
      </c>
      <c r="K21" s="70">
        <v>4000</v>
      </c>
      <c r="M21" s="70">
        <v>28</v>
      </c>
      <c r="N21" s="70">
        <v>25000</v>
      </c>
      <c r="P21" s="70">
        <v>180</v>
      </c>
      <c r="Q21" s="70">
        <v>160000</v>
      </c>
    </row>
    <row r="22" spans="2:17">
      <c r="B22" s="6" t="s">
        <v>288</v>
      </c>
      <c r="C22" s="6" t="s">
        <v>289</v>
      </c>
      <c r="D22" s="6" t="s">
        <v>290</v>
      </c>
      <c r="E22" s="64"/>
      <c r="F22" s="6" t="s">
        <v>342</v>
      </c>
      <c r="G22" s="6" t="s">
        <v>343</v>
      </c>
      <c r="H22" s="6" t="s">
        <v>314</v>
      </c>
      <c r="J22" s="67">
        <v>4.8</v>
      </c>
      <c r="K22" s="70">
        <v>4250</v>
      </c>
      <c r="M22" s="70">
        <v>30</v>
      </c>
      <c r="N22" s="70">
        <v>26500</v>
      </c>
      <c r="P22" s="70">
        <v>190</v>
      </c>
      <c r="Q22" s="70">
        <v>170000</v>
      </c>
    </row>
    <row r="23" spans="2:17">
      <c r="B23" s="6" t="s">
        <v>291</v>
      </c>
      <c r="C23" s="6" t="s">
        <v>292</v>
      </c>
      <c r="D23" s="6" t="s">
        <v>293</v>
      </c>
      <c r="E23" s="64"/>
      <c r="F23" s="6" t="s">
        <v>318</v>
      </c>
      <c r="G23" s="6" t="s">
        <v>319</v>
      </c>
      <c r="H23" s="6" t="s">
        <v>317</v>
      </c>
      <c r="J23" s="67">
        <v>5</v>
      </c>
      <c r="K23" s="70">
        <v>4500</v>
      </c>
      <c r="M23" s="70">
        <v>31.5</v>
      </c>
      <c r="N23" s="70">
        <v>28000</v>
      </c>
      <c r="P23" s="70">
        <v>200</v>
      </c>
      <c r="Q23" s="70">
        <v>180000</v>
      </c>
    </row>
    <row r="24" spans="2:17">
      <c r="B24" s="6" t="s">
        <v>294</v>
      </c>
      <c r="C24" s="6" t="s">
        <v>295</v>
      </c>
      <c r="D24" s="6" t="s">
        <v>296</v>
      </c>
      <c r="E24" s="64"/>
      <c r="F24" s="6" t="s">
        <v>344</v>
      </c>
      <c r="G24" s="6" t="s">
        <v>345</v>
      </c>
      <c r="H24" s="6" t="s">
        <v>320</v>
      </c>
      <c r="J24" s="67">
        <v>5.3</v>
      </c>
      <c r="K24" s="70">
        <v>4750</v>
      </c>
      <c r="M24" s="70">
        <v>33.5</v>
      </c>
      <c r="N24" s="70">
        <v>30000</v>
      </c>
      <c r="P24" s="70">
        <v>212</v>
      </c>
      <c r="Q24" s="70">
        <v>190000</v>
      </c>
    </row>
    <row r="25" spans="2:17">
      <c r="B25" s="6" t="s">
        <v>297</v>
      </c>
      <c r="C25" s="6" t="s">
        <v>298</v>
      </c>
      <c r="D25" s="6" t="s">
        <v>299</v>
      </c>
      <c r="E25" s="64"/>
      <c r="F25" s="64"/>
      <c r="G25" s="64"/>
      <c r="H25" s="64"/>
      <c r="J25" s="67">
        <v>5.6</v>
      </c>
      <c r="K25" s="70">
        <v>5000</v>
      </c>
      <c r="M25" s="70">
        <v>35.5</v>
      </c>
      <c r="N25" s="70">
        <v>31500</v>
      </c>
      <c r="P25" s="70">
        <v>224</v>
      </c>
      <c r="Q25" s="70">
        <v>200000</v>
      </c>
    </row>
    <row r="26" spans="2:17">
      <c r="B26" s="6" t="s">
        <v>300</v>
      </c>
      <c r="C26" s="6" t="s">
        <v>301</v>
      </c>
      <c r="D26" s="6" t="s">
        <v>302</v>
      </c>
      <c r="E26" s="64"/>
      <c r="F26" s="64"/>
      <c r="G26" s="64"/>
      <c r="H26" s="64"/>
      <c r="J26" s="67">
        <v>6</v>
      </c>
      <c r="K26" s="70">
        <v>5300</v>
      </c>
      <c r="M26" s="70">
        <v>37.5</v>
      </c>
      <c r="N26" s="70">
        <v>33500</v>
      </c>
      <c r="P26" s="70">
        <v>236</v>
      </c>
      <c r="Q26" s="70">
        <v>212000</v>
      </c>
    </row>
    <row r="27" spans="2:17">
      <c r="B27" s="6" t="s">
        <v>303</v>
      </c>
      <c r="C27" s="6" t="s">
        <v>304</v>
      </c>
      <c r="D27" s="6" t="s">
        <v>305</v>
      </c>
      <c r="E27" s="64"/>
      <c r="F27" s="64"/>
      <c r="G27" s="64"/>
      <c r="H27" s="64"/>
      <c r="J27" s="67">
        <v>6.3</v>
      </c>
      <c r="K27" s="70">
        <v>5600</v>
      </c>
      <c r="M27" s="70">
        <v>40</v>
      </c>
      <c r="N27" s="70">
        <v>35500</v>
      </c>
      <c r="P27" s="70">
        <v>250</v>
      </c>
      <c r="Q27" s="70">
        <v>224000</v>
      </c>
    </row>
    <row r="28" spans="2:17">
      <c r="B28" s="6" t="s">
        <v>306</v>
      </c>
      <c r="C28" s="6" t="s">
        <v>307</v>
      </c>
      <c r="D28" s="6" t="s">
        <v>308</v>
      </c>
      <c r="E28" s="64"/>
      <c r="F28" s="64"/>
      <c r="G28" s="64"/>
      <c r="H28" s="64"/>
      <c r="J28" s="67">
        <v>6.7</v>
      </c>
      <c r="K28" s="70">
        <v>6000</v>
      </c>
      <c r="M28" s="70">
        <v>42.5</v>
      </c>
      <c r="N28" s="70">
        <v>37500</v>
      </c>
      <c r="P28" s="70">
        <v>265</v>
      </c>
      <c r="Q28" s="70">
        <v>236000</v>
      </c>
    </row>
    <row r="29" spans="2:17">
      <c r="B29" s="6" t="s">
        <v>309</v>
      </c>
      <c r="C29" s="6" t="s">
        <v>310</v>
      </c>
      <c r="D29" s="6" t="s">
        <v>311</v>
      </c>
      <c r="E29" s="64"/>
      <c r="F29" s="64"/>
      <c r="G29" s="64"/>
      <c r="H29" s="64"/>
      <c r="J29" s="67">
        <v>7.1</v>
      </c>
      <c r="K29" s="70">
        <v>6300</v>
      </c>
      <c r="M29" s="70">
        <v>45</v>
      </c>
      <c r="N29" s="70">
        <v>40000</v>
      </c>
      <c r="P29" s="70">
        <v>280</v>
      </c>
      <c r="Q29" s="70">
        <v>250000</v>
      </c>
    </row>
    <row r="30" spans="2:17">
      <c r="B30" s="6" t="s">
        <v>312</v>
      </c>
      <c r="C30" s="6" t="s">
        <v>313</v>
      </c>
      <c r="D30" s="6" t="s">
        <v>314</v>
      </c>
      <c r="E30" s="64"/>
      <c r="F30" s="64"/>
      <c r="G30" s="64"/>
      <c r="H30" s="64"/>
      <c r="J30" s="67">
        <v>7.5</v>
      </c>
      <c r="K30" s="70">
        <v>6700</v>
      </c>
      <c r="M30" s="70">
        <v>47.5</v>
      </c>
      <c r="N30" s="70">
        <v>42500</v>
      </c>
      <c r="P30" s="70">
        <v>300</v>
      </c>
      <c r="Q30" s="70">
        <v>265000</v>
      </c>
    </row>
    <row r="31" spans="2:17">
      <c r="B31" s="6" t="s">
        <v>315</v>
      </c>
      <c r="C31" s="6" t="s">
        <v>316</v>
      </c>
      <c r="D31" s="6" t="s">
        <v>317</v>
      </c>
      <c r="E31" s="64"/>
      <c r="F31" s="64"/>
      <c r="G31" s="64"/>
      <c r="H31" s="64"/>
      <c r="J31" s="67">
        <v>8</v>
      </c>
      <c r="K31" s="70">
        <v>7100</v>
      </c>
      <c r="M31" s="70">
        <v>50</v>
      </c>
      <c r="N31" s="70">
        <v>45000</v>
      </c>
      <c r="P31" s="70">
        <v>315</v>
      </c>
      <c r="Q31" s="70">
        <v>280000</v>
      </c>
    </row>
    <row r="32" spans="2:17">
      <c r="B32" s="6" t="s">
        <v>318</v>
      </c>
      <c r="C32" s="6" t="s">
        <v>319</v>
      </c>
      <c r="D32" s="6" t="s">
        <v>320</v>
      </c>
      <c r="E32" s="64"/>
      <c r="F32" s="64"/>
      <c r="G32" s="64"/>
      <c r="H32" s="64"/>
      <c r="J32" s="67">
        <v>8.5</v>
      </c>
      <c r="K32" s="70">
        <v>7500</v>
      </c>
      <c r="M32" s="70">
        <v>53</v>
      </c>
      <c r="N32" s="70">
        <v>47500</v>
      </c>
      <c r="P32" s="70">
        <v>335</v>
      </c>
      <c r="Q32" s="70">
        <v>300000</v>
      </c>
    </row>
    <row r="33" spans="10:17">
      <c r="J33" s="67">
        <v>9</v>
      </c>
      <c r="K33" s="70">
        <v>8000</v>
      </c>
      <c r="M33" s="70">
        <v>56</v>
      </c>
      <c r="N33" s="70">
        <v>50000</v>
      </c>
      <c r="P33" s="70">
        <v>355</v>
      </c>
      <c r="Q33" s="70">
        <v>315000</v>
      </c>
    </row>
    <row r="34" spans="10:17">
      <c r="J34" s="67">
        <v>9.5</v>
      </c>
      <c r="K34" s="70">
        <v>8500</v>
      </c>
      <c r="M34" s="70">
        <v>60</v>
      </c>
      <c r="N34" s="70">
        <v>53000</v>
      </c>
      <c r="P34" s="70">
        <v>375</v>
      </c>
      <c r="Q34" s="70">
        <v>335000</v>
      </c>
    </row>
    <row r="35" spans="10:17">
      <c r="J35" s="67">
        <v>10</v>
      </c>
      <c r="K35" s="70">
        <v>9000</v>
      </c>
      <c r="L35" s="72"/>
      <c r="M35" s="70">
        <v>63</v>
      </c>
      <c r="N35" s="70">
        <v>56000</v>
      </c>
      <c r="O35" s="72"/>
      <c r="P35" s="70">
        <v>400</v>
      </c>
      <c r="Q35" s="70">
        <v>355000</v>
      </c>
    </row>
  </sheetData>
  <mergeCells count="3">
    <mergeCell ref="B2:D2"/>
    <mergeCell ref="F2:H2"/>
    <mergeCell ref="J2:Q2"/>
  </mergeCells>
  <phoneticPr fontId="6"/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defaultRowHeight="18"/>
  <sheetData/>
  <phoneticPr fontId="6"/>
  <pageMargins left="0.7" right="0.7" top="0.75" bottom="0.75" header="0.3" footer="0.3"/>
  <pageSetup paperSize="9" orientation="portrait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6"/>
  <sheetViews>
    <sheetView workbookViewId="0"/>
  </sheetViews>
  <sheetFormatPr defaultColWidth="8.6640625" defaultRowHeight="18"/>
  <cols>
    <col min="1" max="1" width="4.08203125" style="326" customWidth="1"/>
    <col min="2" max="2" width="10" style="393" bestFit="1" customWidth="1"/>
    <col min="3" max="3" width="4.83203125" style="326" bestFit="1" customWidth="1"/>
    <col min="4" max="4" width="16.1640625" style="326" bestFit="1" customWidth="1"/>
    <col min="5" max="5" width="13.4140625" style="397" bestFit="1" customWidth="1"/>
    <col min="6" max="7" width="41.6640625" style="391" customWidth="1"/>
    <col min="8" max="8" width="41.6640625" style="326" customWidth="1"/>
    <col min="9" max="9" width="4.08203125" style="326" customWidth="1"/>
    <col min="10" max="16384" width="8.6640625" style="326"/>
  </cols>
  <sheetData>
    <row r="2" spans="2:8">
      <c r="B2" s="394" t="s">
        <v>1079</v>
      </c>
      <c r="C2" s="388" t="s">
        <v>1069</v>
      </c>
      <c r="D2" s="388" t="s">
        <v>1070</v>
      </c>
      <c r="E2" s="99" t="s">
        <v>1071</v>
      </c>
      <c r="F2" s="99" t="s">
        <v>1074</v>
      </c>
      <c r="G2" s="99" t="s">
        <v>1075</v>
      </c>
      <c r="H2" s="388" t="s">
        <v>1076</v>
      </c>
    </row>
    <row r="3" spans="2:8" ht="36">
      <c r="B3" s="395">
        <v>45828</v>
      </c>
      <c r="C3" s="235" t="s">
        <v>1072</v>
      </c>
      <c r="D3" s="235" t="s">
        <v>1073</v>
      </c>
      <c r="E3" s="396" t="s">
        <v>1155</v>
      </c>
      <c r="F3" s="392" t="s">
        <v>1151</v>
      </c>
      <c r="G3" s="392" t="s">
        <v>1153</v>
      </c>
      <c r="H3" s="235"/>
    </row>
    <row r="4" spans="2:8" ht="36">
      <c r="B4" s="395">
        <v>45828</v>
      </c>
      <c r="C4" s="235" t="s">
        <v>1072</v>
      </c>
      <c r="D4" s="235" t="s">
        <v>1104</v>
      </c>
      <c r="E4" s="396" t="s">
        <v>1154</v>
      </c>
      <c r="F4" s="392" t="s">
        <v>1156</v>
      </c>
      <c r="G4" s="392" t="s">
        <v>1157</v>
      </c>
      <c r="H4" s="235"/>
    </row>
    <row r="5" spans="2:8" ht="36">
      <c r="B5" s="395">
        <v>45828</v>
      </c>
      <c r="C5" s="235" t="s">
        <v>1072</v>
      </c>
      <c r="D5" s="235" t="s">
        <v>1080</v>
      </c>
      <c r="E5" s="396" t="s">
        <v>1158</v>
      </c>
      <c r="F5" s="392" t="s">
        <v>1159</v>
      </c>
      <c r="G5" s="392" t="s">
        <v>1160</v>
      </c>
      <c r="H5" s="235"/>
    </row>
    <row r="6" spans="2:8" ht="54">
      <c r="B6" s="395">
        <v>45817</v>
      </c>
      <c r="C6" s="235" t="s">
        <v>1140</v>
      </c>
      <c r="D6" s="235" t="s">
        <v>1141</v>
      </c>
      <c r="E6" s="396" t="s">
        <v>1142</v>
      </c>
      <c r="F6" s="392" t="s">
        <v>1143</v>
      </c>
      <c r="G6" s="392" t="s">
        <v>1144</v>
      </c>
      <c r="H6" s="235"/>
    </row>
    <row r="7" spans="2:8" ht="36">
      <c r="B7" s="395">
        <v>45817</v>
      </c>
      <c r="C7" s="235" t="s">
        <v>1083</v>
      </c>
      <c r="D7" s="235" t="s">
        <v>1145</v>
      </c>
      <c r="E7" s="396" t="s">
        <v>1146</v>
      </c>
      <c r="F7" s="392" t="s">
        <v>1147</v>
      </c>
      <c r="G7" s="392" t="s">
        <v>1148</v>
      </c>
      <c r="H7" s="235"/>
    </row>
    <row r="8" spans="2:8">
      <c r="B8" s="395">
        <v>45806</v>
      </c>
      <c r="C8" s="235" t="s">
        <v>1072</v>
      </c>
      <c r="D8" s="235" t="s">
        <v>1122</v>
      </c>
      <c r="E8" s="396" t="s">
        <v>1123</v>
      </c>
      <c r="F8" s="392" t="s">
        <v>1124</v>
      </c>
      <c r="G8" s="392"/>
      <c r="H8" s="235"/>
    </row>
    <row r="9" spans="2:8" ht="36">
      <c r="B9" s="395">
        <v>45806</v>
      </c>
      <c r="C9" s="235" t="s">
        <v>1072</v>
      </c>
      <c r="D9" s="235" t="s">
        <v>1125</v>
      </c>
      <c r="E9" s="396" t="s">
        <v>1126</v>
      </c>
      <c r="F9" s="392" t="s">
        <v>1127</v>
      </c>
      <c r="G9" s="392" t="s">
        <v>1128</v>
      </c>
      <c r="H9" s="235"/>
    </row>
    <row r="10" spans="2:8" ht="36">
      <c r="B10" s="395">
        <v>45806</v>
      </c>
      <c r="C10" s="235" t="s">
        <v>1072</v>
      </c>
      <c r="D10" s="235" t="s">
        <v>1129</v>
      </c>
      <c r="E10" s="396" t="s">
        <v>1130</v>
      </c>
      <c r="F10" s="392" t="s">
        <v>1134</v>
      </c>
      <c r="G10" s="392" t="s">
        <v>1135</v>
      </c>
      <c r="H10" s="235"/>
    </row>
    <row r="11" spans="2:8" ht="54">
      <c r="B11" s="395">
        <v>45803</v>
      </c>
      <c r="C11" s="235" t="s">
        <v>1083</v>
      </c>
      <c r="D11" s="235" t="s">
        <v>1104</v>
      </c>
      <c r="E11" s="396" t="s">
        <v>1105</v>
      </c>
      <c r="F11" s="392" t="s">
        <v>1106</v>
      </c>
      <c r="G11" s="392" t="s">
        <v>1107</v>
      </c>
      <c r="H11" s="392" t="s">
        <v>1108</v>
      </c>
    </row>
    <row r="12" spans="2:8" ht="36">
      <c r="B12" s="395">
        <v>45803</v>
      </c>
      <c r="C12" s="235" t="s">
        <v>1083</v>
      </c>
      <c r="D12" s="235" t="s">
        <v>1110</v>
      </c>
      <c r="E12" s="396" t="s">
        <v>1109</v>
      </c>
      <c r="F12" s="392" t="s">
        <v>1111</v>
      </c>
      <c r="G12" s="392" t="s">
        <v>1112</v>
      </c>
      <c r="H12" s="235"/>
    </row>
    <row r="13" spans="2:8" ht="36">
      <c r="B13" s="395">
        <v>45803</v>
      </c>
      <c r="C13" s="235" t="s">
        <v>1083</v>
      </c>
      <c r="D13" s="235" t="s">
        <v>1113</v>
      </c>
      <c r="E13" s="396" t="s">
        <v>1114</v>
      </c>
      <c r="F13" s="392" t="s">
        <v>1111</v>
      </c>
      <c r="G13" s="392" t="s">
        <v>1112</v>
      </c>
      <c r="H13" s="235"/>
    </row>
    <row r="14" spans="2:8" ht="36">
      <c r="B14" s="395">
        <v>45800</v>
      </c>
      <c r="C14" s="235" t="s">
        <v>1072</v>
      </c>
      <c r="D14" s="235" t="s">
        <v>1073</v>
      </c>
      <c r="E14" s="396" t="s">
        <v>387</v>
      </c>
      <c r="F14" s="392" t="s">
        <v>1077</v>
      </c>
      <c r="G14" s="392" t="s">
        <v>1078</v>
      </c>
      <c r="H14" s="392"/>
    </row>
    <row r="15" spans="2:8" ht="54">
      <c r="B15" s="395">
        <v>45800</v>
      </c>
      <c r="C15" s="235" t="s">
        <v>1072</v>
      </c>
      <c r="D15" s="235" t="s">
        <v>1080</v>
      </c>
      <c r="E15" s="396" t="s">
        <v>1081</v>
      </c>
      <c r="F15" s="392" t="s">
        <v>1118</v>
      </c>
      <c r="G15" s="392" t="s">
        <v>1121</v>
      </c>
      <c r="H15" s="392"/>
    </row>
    <row r="16" spans="2:8" ht="54">
      <c r="B16" s="395">
        <v>45800</v>
      </c>
      <c r="C16" s="235" t="s">
        <v>1072</v>
      </c>
      <c r="D16" s="235" t="s">
        <v>1080</v>
      </c>
      <c r="E16" s="396" t="s">
        <v>1082</v>
      </c>
      <c r="F16" s="392" t="s">
        <v>1119</v>
      </c>
      <c r="G16" s="392" t="s">
        <v>1120</v>
      </c>
      <c r="H16" s="392"/>
    </row>
    <row r="17" spans="2:8" ht="72">
      <c r="B17" s="395">
        <v>45800</v>
      </c>
      <c r="C17" s="235" t="s">
        <v>1072</v>
      </c>
      <c r="D17" s="235" t="s">
        <v>1084</v>
      </c>
      <c r="E17" s="396" t="s">
        <v>1088</v>
      </c>
      <c r="F17" s="392" t="s">
        <v>1090</v>
      </c>
      <c r="G17" s="392" t="s">
        <v>1091</v>
      </c>
      <c r="H17" s="392"/>
    </row>
    <row r="18" spans="2:8" ht="54">
      <c r="B18" s="395">
        <v>45796</v>
      </c>
      <c r="C18" s="235" t="s">
        <v>1083</v>
      </c>
      <c r="D18" s="235" t="s">
        <v>1084</v>
      </c>
      <c r="E18" s="396" t="s">
        <v>1085</v>
      </c>
      <c r="F18" s="392" t="s">
        <v>1086</v>
      </c>
      <c r="G18" s="392" t="s">
        <v>1089</v>
      </c>
      <c r="H18" s="392"/>
    </row>
    <row r="19" spans="2:8" ht="36">
      <c r="B19" s="395">
        <v>45796</v>
      </c>
      <c r="C19" s="235" t="s">
        <v>1072</v>
      </c>
      <c r="D19" s="235" t="s">
        <v>1084</v>
      </c>
      <c r="E19" s="396" t="s">
        <v>1087</v>
      </c>
      <c r="F19" s="392" t="s">
        <v>1092</v>
      </c>
      <c r="G19" s="392" t="s">
        <v>1093</v>
      </c>
      <c r="H19" s="392"/>
    </row>
    <row r="20" spans="2:8" ht="54">
      <c r="B20" s="395">
        <v>45796</v>
      </c>
      <c r="C20" s="235" t="s">
        <v>1072</v>
      </c>
      <c r="D20" s="235" t="s">
        <v>1084</v>
      </c>
      <c r="E20" s="396" t="s">
        <v>1094</v>
      </c>
      <c r="F20" s="392" t="s">
        <v>1095</v>
      </c>
      <c r="G20" s="392" t="s">
        <v>1096</v>
      </c>
      <c r="H20" s="392"/>
    </row>
    <row r="21" spans="2:8" ht="90">
      <c r="B21" s="395">
        <v>45796</v>
      </c>
      <c r="C21" s="235" t="s">
        <v>1083</v>
      </c>
      <c r="D21" s="235" t="s">
        <v>1084</v>
      </c>
      <c r="E21" s="396" t="s">
        <v>1097</v>
      </c>
      <c r="F21" s="392" t="s">
        <v>1098</v>
      </c>
      <c r="G21" s="392" t="s">
        <v>1100</v>
      </c>
      <c r="H21" s="392" t="s">
        <v>1099</v>
      </c>
    </row>
    <row r="22" spans="2:8">
      <c r="B22" s="395"/>
      <c r="C22" s="235"/>
      <c r="D22" s="235"/>
      <c r="E22" s="396"/>
      <c r="F22" s="392"/>
      <c r="G22" s="392"/>
      <c r="H22" s="235"/>
    </row>
    <row r="23" spans="2:8">
      <c r="B23" s="395"/>
      <c r="C23" s="235"/>
      <c r="D23" s="235"/>
      <c r="E23" s="396"/>
      <c r="F23" s="392"/>
      <c r="G23" s="392"/>
      <c r="H23" s="235"/>
    </row>
    <row r="24" spans="2:8">
      <c r="B24" s="395"/>
      <c r="C24" s="235"/>
      <c r="D24" s="235"/>
      <c r="E24" s="396"/>
      <c r="F24" s="392"/>
      <c r="G24" s="392"/>
      <c r="H24" s="235"/>
    </row>
    <row r="25" spans="2:8">
      <c r="B25" s="395"/>
      <c r="C25" s="235"/>
      <c r="D25" s="235"/>
      <c r="E25" s="396"/>
      <c r="F25" s="392"/>
      <c r="G25" s="392"/>
      <c r="H25" s="235"/>
    </row>
    <row r="26" spans="2:8">
      <c r="B26" s="395"/>
      <c r="C26" s="235"/>
      <c r="D26" s="235"/>
      <c r="E26" s="396"/>
      <c r="F26" s="392"/>
      <c r="G26" s="392"/>
      <c r="H26" s="235"/>
    </row>
    <row r="27" spans="2:8">
      <c r="B27" s="395"/>
      <c r="C27" s="235"/>
      <c r="D27" s="235"/>
      <c r="E27" s="396"/>
      <c r="F27" s="392"/>
      <c r="G27" s="392"/>
      <c r="H27" s="235"/>
    </row>
    <row r="28" spans="2:8">
      <c r="B28" s="395"/>
      <c r="C28" s="235"/>
      <c r="D28" s="235"/>
      <c r="E28" s="396"/>
      <c r="F28" s="392"/>
      <c r="G28" s="392"/>
      <c r="H28" s="235"/>
    </row>
    <row r="29" spans="2:8">
      <c r="B29" s="395"/>
      <c r="C29" s="235"/>
      <c r="D29" s="235"/>
      <c r="E29" s="396"/>
      <c r="F29" s="392"/>
      <c r="G29" s="392"/>
      <c r="H29" s="235"/>
    </row>
    <row r="30" spans="2:8">
      <c r="B30" s="395"/>
      <c r="C30" s="235"/>
      <c r="D30" s="235"/>
      <c r="E30" s="396"/>
      <c r="F30" s="392"/>
      <c r="G30" s="392"/>
      <c r="H30" s="235"/>
    </row>
    <row r="31" spans="2:8">
      <c r="B31" s="395"/>
      <c r="C31" s="235"/>
      <c r="D31" s="235"/>
      <c r="E31" s="396"/>
      <c r="F31" s="392"/>
      <c r="G31" s="392"/>
      <c r="H31" s="235"/>
    </row>
    <row r="32" spans="2:8">
      <c r="B32" s="395"/>
      <c r="C32" s="235"/>
      <c r="D32" s="235"/>
      <c r="E32" s="396"/>
      <c r="F32" s="392"/>
      <c r="G32" s="392"/>
      <c r="H32" s="235"/>
    </row>
    <row r="33" spans="2:8">
      <c r="B33" s="395"/>
      <c r="C33" s="235"/>
      <c r="D33" s="235"/>
      <c r="E33" s="396"/>
      <c r="F33" s="392"/>
      <c r="G33" s="392"/>
      <c r="H33" s="235"/>
    </row>
    <row r="34" spans="2:8">
      <c r="B34" s="395"/>
      <c r="C34" s="235"/>
      <c r="D34" s="235"/>
      <c r="E34" s="396"/>
      <c r="F34" s="392"/>
      <c r="G34" s="392"/>
      <c r="H34" s="235"/>
    </row>
    <row r="35" spans="2:8">
      <c r="B35" s="395"/>
      <c r="C35" s="235"/>
      <c r="D35" s="235"/>
      <c r="E35" s="396"/>
      <c r="F35" s="392"/>
      <c r="G35" s="392"/>
      <c r="H35" s="235"/>
    </row>
    <row r="36" spans="2:8">
      <c r="B36" s="395"/>
      <c r="C36" s="235"/>
      <c r="D36" s="235"/>
      <c r="E36" s="396"/>
      <c r="F36" s="392"/>
      <c r="G36" s="392"/>
      <c r="H36" s="235"/>
    </row>
    <row r="37" spans="2:8">
      <c r="B37" s="395"/>
      <c r="C37" s="235"/>
      <c r="D37" s="235"/>
      <c r="E37" s="396"/>
      <c r="F37" s="392"/>
      <c r="G37" s="392"/>
      <c r="H37" s="235"/>
    </row>
    <row r="38" spans="2:8">
      <c r="B38" s="395"/>
      <c r="C38" s="235"/>
      <c r="D38" s="235"/>
      <c r="E38" s="396"/>
      <c r="F38" s="392"/>
      <c r="G38" s="392"/>
      <c r="H38" s="235"/>
    </row>
    <row r="39" spans="2:8">
      <c r="B39" s="395"/>
      <c r="C39" s="235"/>
      <c r="D39" s="235"/>
      <c r="E39" s="396"/>
      <c r="F39" s="392"/>
      <c r="G39" s="392"/>
      <c r="H39" s="235"/>
    </row>
    <row r="40" spans="2:8">
      <c r="B40" s="395"/>
      <c r="C40" s="235"/>
      <c r="D40" s="235"/>
      <c r="E40" s="396"/>
      <c r="F40" s="392"/>
      <c r="G40" s="392"/>
      <c r="H40" s="235"/>
    </row>
    <row r="41" spans="2:8">
      <c r="B41" s="395"/>
      <c r="C41" s="235"/>
      <c r="D41" s="235"/>
      <c r="E41" s="396"/>
      <c r="F41" s="392"/>
      <c r="G41" s="392"/>
      <c r="H41" s="235"/>
    </row>
    <row r="42" spans="2:8">
      <c r="B42" s="395"/>
      <c r="C42" s="235"/>
      <c r="D42" s="235"/>
      <c r="E42" s="396"/>
      <c r="F42" s="392"/>
      <c r="G42" s="392"/>
      <c r="H42" s="235"/>
    </row>
    <row r="43" spans="2:8">
      <c r="B43" s="395"/>
      <c r="C43" s="235"/>
      <c r="D43" s="235"/>
      <c r="E43" s="396"/>
      <c r="F43" s="392"/>
      <c r="G43" s="392"/>
      <c r="H43" s="235"/>
    </row>
    <row r="44" spans="2:8">
      <c r="B44" s="395"/>
      <c r="C44" s="235"/>
      <c r="D44" s="235"/>
      <c r="E44" s="396"/>
      <c r="F44" s="392"/>
      <c r="G44" s="392"/>
      <c r="H44" s="235"/>
    </row>
    <row r="45" spans="2:8">
      <c r="B45" s="395"/>
      <c r="C45" s="235"/>
      <c r="D45" s="235"/>
      <c r="E45" s="396"/>
      <c r="F45" s="392"/>
      <c r="G45" s="392"/>
      <c r="H45" s="235"/>
    </row>
    <row r="46" spans="2:8">
      <c r="B46" s="395"/>
      <c r="C46" s="235"/>
      <c r="D46" s="235"/>
      <c r="E46" s="396"/>
      <c r="F46" s="392"/>
      <c r="G46" s="392"/>
      <c r="H46" s="235"/>
    </row>
    <row r="47" spans="2:8">
      <c r="B47" s="395"/>
      <c r="C47" s="235"/>
      <c r="D47" s="235"/>
      <c r="E47" s="396"/>
      <c r="F47" s="392"/>
      <c r="G47" s="392"/>
      <c r="H47" s="235"/>
    </row>
    <row r="48" spans="2:8">
      <c r="B48" s="395"/>
      <c r="C48" s="235"/>
      <c r="D48" s="235"/>
      <c r="E48" s="396"/>
      <c r="F48" s="392"/>
      <c r="G48" s="392"/>
      <c r="H48" s="235"/>
    </row>
    <row r="49" spans="2:8">
      <c r="B49" s="395"/>
      <c r="C49" s="235"/>
      <c r="D49" s="235"/>
      <c r="E49" s="396"/>
      <c r="F49" s="392"/>
      <c r="G49" s="392"/>
      <c r="H49" s="235"/>
    </row>
    <row r="50" spans="2:8">
      <c r="B50" s="395"/>
      <c r="C50" s="235"/>
      <c r="D50" s="235"/>
      <c r="E50" s="396"/>
      <c r="F50" s="392"/>
      <c r="G50" s="392"/>
      <c r="H50" s="235"/>
    </row>
    <row r="51" spans="2:8">
      <c r="B51" s="395"/>
      <c r="C51" s="235"/>
      <c r="D51" s="235"/>
      <c r="E51" s="396"/>
      <c r="F51" s="392"/>
      <c r="G51" s="392"/>
      <c r="H51" s="235"/>
    </row>
    <row r="52" spans="2:8">
      <c r="B52" s="395"/>
      <c r="C52" s="235"/>
      <c r="D52" s="235"/>
      <c r="E52" s="396"/>
      <c r="F52" s="392"/>
      <c r="G52" s="392"/>
      <c r="H52" s="235"/>
    </row>
    <row r="53" spans="2:8">
      <c r="B53" s="395"/>
      <c r="C53" s="235"/>
      <c r="D53" s="235"/>
      <c r="E53" s="396"/>
      <c r="F53" s="392"/>
      <c r="G53" s="392"/>
      <c r="H53" s="235"/>
    </row>
    <row r="54" spans="2:8">
      <c r="B54" s="395"/>
      <c r="C54" s="235"/>
      <c r="D54" s="235"/>
      <c r="E54" s="396"/>
      <c r="F54" s="392"/>
      <c r="G54" s="392"/>
      <c r="H54" s="235"/>
    </row>
    <row r="55" spans="2:8">
      <c r="B55" s="395"/>
      <c r="C55" s="235"/>
      <c r="D55" s="235"/>
      <c r="E55" s="396"/>
      <c r="F55" s="392"/>
      <c r="G55" s="392"/>
      <c r="H55" s="235"/>
    </row>
    <row r="56" spans="2:8">
      <c r="B56" s="395"/>
      <c r="C56" s="235"/>
      <c r="D56" s="235"/>
      <c r="E56" s="396"/>
      <c r="F56" s="392"/>
      <c r="G56" s="392"/>
      <c r="H56" s="235"/>
    </row>
    <row r="57" spans="2:8">
      <c r="B57" s="395"/>
      <c r="C57" s="235"/>
      <c r="D57" s="235"/>
      <c r="E57" s="396"/>
      <c r="F57" s="392"/>
      <c r="G57" s="392"/>
      <c r="H57" s="235"/>
    </row>
    <row r="58" spans="2:8">
      <c r="B58" s="395"/>
      <c r="C58" s="235"/>
      <c r="D58" s="235"/>
      <c r="E58" s="396"/>
      <c r="F58" s="392"/>
      <c r="G58" s="392"/>
      <c r="H58" s="235"/>
    </row>
    <row r="59" spans="2:8">
      <c r="B59" s="395"/>
      <c r="C59" s="235"/>
      <c r="D59" s="235"/>
      <c r="E59" s="396"/>
      <c r="F59" s="392"/>
      <c r="G59" s="392"/>
      <c r="H59" s="235"/>
    </row>
    <row r="60" spans="2:8">
      <c r="B60" s="395"/>
      <c r="C60" s="235"/>
      <c r="D60" s="235"/>
      <c r="E60" s="396"/>
      <c r="F60" s="392"/>
      <c r="G60" s="392"/>
      <c r="H60" s="235"/>
    </row>
    <row r="61" spans="2:8">
      <c r="B61" s="395"/>
      <c r="C61" s="235"/>
      <c r="D61" s="235"/>
      <c r="E61" s="396"/>
      <c r="F61" s="392"/>
      <c r="G61" s="392"/>
      <c r="H61" s="235"/>
    </row>
    <row r="62" spans="2:8">
      <c r="B62" s="395"/>
      <c r="C62" s="235"/>
      <c r="D62" s="235"/>
      <c r="E62" s="396"/>
      <c r="F62" s="392"/>
      <c r="G62" s="392"/>
      <c r="H62" s="235"/>
    </row>
    <row r="63" spans="2:8">
      <c r="B63" s="395"/>
      <c r="C63" s="235"/>
      <c r="D63" s="235"/>
      <c r="E63" s="396"/>
      <c r="F63" s="392"/>
      <c r="G63" s="392"/>
      <c r="H63" s="235"/>
    </row>
    <row r="64" spans="2:8">
      <c r="B64" s="395"/>
      <c r="C64" s="235"/>
      <c r="D64" s="235"/>
      <c r="E64" s="396"/>
      <c r="F64" s="392"/>
      <c r="G64" s="392"/>
      <c r="H64" s="235"/>
    </row>
    <row r="65" spans="2:8">
      <c r="B65" s="395"/>
      <c r="C65" s="235"/>
      <c r="D65" s="235"/>
      <c r="E65" s="396"/>
      <c r="F65" s="392"/>
      <c r="G65" s="392"/>
      <c r="H65" s="235"/>
    </row>
    <row r="66" spans="2:8">
      <c r="B66" s="395"/>
      <c r="C66" s="235"/>
      <c r="D66" s="235"/>
      <c r="E66" s="396"/>
      <c r="F66" s="392"/>
      <c r="G66" s="392"/>
      <c r="H66" s="235"/>
    </row>
    <row r="67" spans="2:8">
      <c r="B67" s="395"/>
      <c r="C67" s="235"/>
      <c r="D67" s="235"/>
      <c r="E67" s="396"/>
      <c r="F67" s="392"/>
      <c r="G67" s="392"/>
      <c r="H67" s="235"/>
    </row>
    <row r="68" spans="2:8">
      <c r="B68" s="395"/>
      <c r="C68" s="235"/>
      <c r="D68" s="235"/>
      <c r="E68" s="396"/>
      <c r="F68" s="392"/>
      <c r="G68" s="392"/>
      <c r="H68" s="235"/>
    </row>
    <row r="69" spans="2:8">
      <c r="B69" s="395"/>
      <c r="C69" s="235"/>
      <c r="D69" s="235"/>
      <c r="E69" s="396"/>
      <c r="F69" s="392"/>
      <c r="G69" s="392"/>
      <c r="H69" s="235"/>
    </row>
    <row r="70" spans="2:8">
      <c r="B70" s="395"/>
      <c r="C70" s="235"/>
      <c r="D70" s="235"/>
      <c r="E70" s="396"/>
      <c r="F70" s="392"/>
      <c r="G70" s="392"/>
      <c r="H70" s="235"/>
    </row>
    <row r="71" spans="2:8">
      <c r="B71" s="395"/>
      <c r="C71" s="235"/>
      <c r="D71" s="235"/>
      <c r="E71" s="396"/>
      <c r="F71" s="392"/>
      <c r="G71" s="392"/>
      <c r="H71" s="235"/>
    </row>
    <row r="72" spans="2:8">
      <c r="B72" s="395"/>
      <c r="C72" s="235"/>
      <c r="D72" s="235"/>
      <c r="E72" s="396"/>
      <c r="F72" s="392"/>
      <c r="G72" s="392"/>
      <c r="H72" s="235"/>
    </row>
    <row r="73" spans="2:8">
      <c r="B73" s="395"/>
      <c r="C73" s="235"/>
      <c r="D73" s="235"/>
      <c r="E73" s="396"/>
      <c r="F73" s="392"/>
      <c r="G73" s="392"/>
      <c r="H73" s="235"/>
    </row>
    <row r="74" spans="2:8">
      <c r="B74" s="395"/>
      <c r="C74" s="235"/>
      <c r="D74" s="235"/>
      <c r="E74" s="396"/>
      <c r="F74" s="392"/>
      <c r="G74" s="392"/>
      <c r="H74" s="235"/>
    </row>
    <row r="75" spans="2:8">
      <c r="B75" s="395"/>
      <c r="C75" s="235"/>
      <c r="D75" s="235"/>
      <c r="E75" s="396"/>
      <c r="F75" s="392"/>
      <c r="G75" s="392"/>
      <c r="H75" s="235"/>
    </row>
    <row r="76" spans="2:8">
      <c r="B76" s="395"/>
      <c r="C76" s="235"/>
      <c r="D76" s="235"/>
      <c r="E76" s="396"/>
      <c r="F76" s="392"/>
      <c r="G76" s="392"/>
      <c r="H76" s="235"/>
    </row>
    <row r="77" spans="2:8">
      <c r="B77" s="395"/>
      <c r="C77" s="235"/>
      <c r="D77" s="235"/>
      <c r="E77" s="396"/>
      <c r="F77" s="392"/>
      <c r="G77" s="392"/>
      <c r="H77" s="235"/>
    </row>
    <row r="78" spans="2:8">
      <c r="B78" s="395"/>
      <c r="C78" s="235"/>
      <c r="D78" s="235"/>
      <c r="E78" s="396"/>
      <c r="F78" s="392"/>
      <c r="G78" s="392"/>
      <c r="H78" s="235"/>
    </row>
    <row r="79" spans="2:8">
      <c r="B79" s="395"/>
      <c r="C79" s="235"/>
      <c r="D79" s="235"/>
      <c r="E79" s="396"/>
      <c r="F79" s="392"/>
      <c r="G79" s="392"/>
      <c r="H79" s="235"/>
    </row>
    <row r="80" spans="2:8">
      <c r="B80" s="395"/>
      <c r="C80" s="235"/>
      <c r="D80" s="235"/>
      <c r="E80" s="396"/>
      <c r="F80" s="392"/>
      <c r="G80" s="392"/>
      <c r="H80" s="235"/>
    </row>
    <row r="81" spans="2:8">
      <c r="B81" s="395"/>
      <c r="C81" s="235"/>
      <c r="D81" s="235"/>
      <c r="E81" s="396"/>
      <c r="F81" s="392"/>
      <c r="G81" s="392"/>
      <c r="H81" s="235"/>
    </row>
    <row r="82" spans="2:8">
      <c r="B82" s="395"/>
      <c r="C82" s="235"/>
      <c r="D82" s="235"/>
      <c r="E82" s="396"/>
      <c r="F82" s="392"/>
      <c r="G82" s="392"/>
      <c r="H82" s="235"/>
    </row>
    <row r="83" spans="2:8">
      <c r="B83" s="395"/>
      <c r="C83" s="235"/>
      <c r="D83" s="235"/>
      <c r="E83" s="396"/>
      <c r="F83" s="392"/>
      <c r="G83" s="392"/>
      <c r="H83" s="235"/>
    </row>
    <row r="84" spans="2:8">
      <c r="B84" s="395"/>
      <c r="C84" s="235"/>
      <c r="D84" s="235"/>
      <c r="E84" s="396"/>
      <c r="F84" s="392"/>
      <c r="G84" s="392"/>
      <c r="H84" s="235"/>
    </row>
    <row r="85" spans="2:8">
      <c r="B85" s="395"/>
      <c r="C85" s="235"/>
      <c r="D85" s="235"/>
      <c r="E85" s="396"/>
      <c r="F85" s="392"/>
      <c r="G85" s="392"/>
      <c r="H85" s="235"/>
    </row>
    <row r="86" spans="2:8">
      <c r="B86" s="395"/>
      <c r="C86" s="235"/>
      <c r="D86" s="235"/>
      <c r="E86" s="396"/>
      <c r="F86" s="392"/>
      <c r="G86" s="392"/>
      <c r="H86" s="235"/>
    </row>
    <row r="87" spans="2:8">
      <c r="B87" s="395"/>
      <c r="C87" s="235"/>
      <c r="D87" s="235"/>
      <c r="E87" s="396"/>
      <c r="F87" s="392"/>
      <c r="G87" s="392"/>
      <c r="H87" s="235"/>
    </row>
    <row r="88" spans="2:8">
      <c r="B88" s="395"/>
      <c r="C88" s="235"/>
      <c r="D88" s="235"/>
      <c r="E88" s="396"/>
      <c r="F88" s="392"/>
      <c r="G88" s="392"/>
      <c r="H88" s="235"/>
    </row>
    <row r="89" spans="2:8">
      <c r="B89" s="395"/>
      <c r="C89" s="235"/>
      <c r="D89" s="235"/>
      <c r="E89" s="396"/>
      <c r="F89" s="392"/>
      <c r="G89" s="392"/>
      <c r="H89" s="235"/>
    </row>
    <row r="90" spans="2:8">
      <c r="B90" s="395"/>
      <c r="C90" s="235"/>
      <c r="D90" s="235"/>
      <c r="E90" s="396"/>
      <c r="F90" s="392"/>
      <c r="G90" s="392"/>
      <c r="H90" s="235"/>
    </row>
    <row r="91" spans="2:8">
      <c r="B91" s="395"/>
      <c r="C91" s="235"/>
      <c r="D91" s="235"/>
      <c r="E91" s="396"/>
      <c r="F91" s="392"/>
      <c r="G91" s="392"/>
      <c r="H91" s="235"/>
    </row>
    <row r="92" spans="2:8">
      <c r="B92" s="395"/>
      <c r="C92" s="235"/>
      <c r="D92" s="235"/>
      <c r="E92" s="396"/>
      <c r="F92" s="392"/>
      <c r="G92" s="392"/>
      <c r="H92" s="235"/>
    </row>
    <row r="93" spans="2:8">
      <c r="B93" s="395"/>
      <c r="C93" s="235"/>
      <c r="D93" s="235"/>
      <c r="E93" s="396"/>
      <c r="F93" s="392"/>
      <c r="G93" s="392"/>
      <c r="H93" s="235"/>
    </row>
    <row r="94" spans="2:8">
      <c r="B94" s="395"/>
      <c r="C94" s="235"/>
      <c r="D94" s="235"/>
      <c r="E94" s="396"/>
      <c r="F94" s="392"/>
      <c r="G94" s="392"/>
      <c r="H94" s="235"/>
    </row>
    <row r="95" spans="2:8">
      <c r="B95" s="395"/>
      <c r="C95" s="235"/>
      <c r="D95" s="235"/>
      <c r="E95" s="396"/>
      <c r="F95" s="392"/>
      <c r="G95" s="392"/>
      <c r="H95" s="235"/>
    </row>
    <row r="96" spans="2:8">
      <c r="B96" s="395"/>
      <c r="C96" s="235"/>
      <c r="D96" s="235"/>
      <c r="E96" s="396"/>
      <c r="F96" s="392"/>
      <c r="G96" s="392"/>
      <c r="H96" s="235"/>
    </row>
    <row r="97" spans="2:8">
      <c r="B97" s="395"/>
      <c r="C97" s="235"/>
      <c r="D97" s="235"/>
      <c r="E97" s="396"/>
      <c r="F97" s="392"/>
      <c r="G97" s="392"/>
      <c r="H97" s="235"/>
    </row>
    <row r="98" spans="2:8">
      <c r="B98" s="395"/>
      <c r="C98" s="235"/>
      <c r="D98" s="235"/>
      <c r="E98" s="396"/>
      <c r="F98" s="392"/>
      <c r="G98" s="392"/>
      <c r="H98" s="235"/>
    </row>
    <row r="99" spans="2:8">
      <c r="B99" s="395"/>
      <c r="C99" s="235"/>
      <c r="D99" s="235"/>
      <c r="E99" s="396"/>
      <c r="F99" s="392"/>
      <c r="G99" s="392"/>
      <c r="H99" s="235"/>
    </row>
    <row r="100" spans="2:8">
      <c r="B100" s="395"/>
      <c r="C100" s="235"/>
      <c r="D100" s="235"/>
      <c r="E100" s="396"/>
      <c r="F100" s="392"/>
      <c r="G100" s="392"/>
      <c r="H100" s="235"/>
    </row>
    <row r="101" spans="2:8">
      <c r="B101" s="395"/>
      <c r="C101" s="235"/>
      <c r="D101" s="235"/>
      <c r="E101" s="396"/>
      <c r="F101" s="392"/>
      <c r="G101" s="392"/>
      <c r="H101" s="235"/>
    </row>
    <row r="102" spans="2:8">
      <c r="B102" s="395"/>
      <c r="C102" s="235"/>
      <c r="D102" s="235"/>
      <c r="E102" s="396"/>
      <c r="F102" s="392"/>
      <c r="G102" s="392"/>
      <c r="H102" s="235"/>
    </row>
    <row r="103" spans="2:8">
      <c r="B103" s="395"/>
      <c r="C103" s="235"/>
      <c r="D103" s="235"/>
      <c r="E103" s="396"/>
      <c r="F103" s="392"/>
      <c r="G103" s="392"/>
      <c r="H103" s="235"/>
    </row>
    <row r="104" spans="2:8">
      <c r="B104" s="395"/>
      <c r="C104" s="235"/>
      <c r="D104" s="235"/>
      <c r="E104" s="396"/>
      <c r="F104" s="392"/>
      <c r="G104" s="392"/>
      <c r="H104" s="235"/>
    </row>
    <row r="105" spans="2:8">
      <c r="B105" s="395"/>
      <c r="C105" s="235"/>
      <c r="D105" s="235"/>
      <c r="E105" s="396"/>
      <c r="F105" s="392"/>
      <c r="G105" s="392"/>
      <c r="H105" s="235"/>
    </row>
    <row r="106" spans="2:8">
      <c r="B106" s="395"/>
      <c r="C106" s="235"/>
      <c r="D106" s="235"/>
      <c r="E106" s="396"/>
      <c r="F106" s="392"/>
      <c r="G106" s="392"/>
      <c r="H106" s="235"/>
    </row>
  </sheetData>
  <autoFilter ref="B2:H16">
    <sortState ref="B3:H18">
      <sortCondition descending="1" ref="B2:B13"/>
    </sortState>
  </autoFilter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5"/>
  <sheetViews>
    <sheetView zoomScaleNormal="100" zoomScaleSheetLayoutView="100" workbookViewId="0">
      <selection activeCell="C20" sqref="C20"/>
    </sheetView>
  </sheetViews>
  <sheetFormatPr defaultRowHeight="18"/>
  <cols>
    <col min="1" max="1" width="3.6640625" style="14" customWidth="1"/>
    <col min="2" max="2" width="7.83203125" style="14" bestFit="1" customWidth="1"/>
    <col min="3" max="3" width="15.58203125" style="14" customWidth="1"/>
    <col min="4" max="13" width="10.08203125" style="14" customWidth="1"/>
    <col min="14" max="14" width="15.58203125" style="14" customWidth="1"/>
    <col min="15" max="15" width="10.08203125" style="194" customWidth="1"/>
    <col min="16" max="18" width="10.08203125" style="90" customWidth="1"/>
    <col min="19" max="27" width="10.08203125" style="14" customWidth="1"/>
    <col min="28" max="30" width="8.6640625" style="14" customWidth="1"/>
    <col min="31" max="16384" width="8.6640625" style="14"/>
  </cols>
  <sheetData>
    <row r="1" spans="1:26" ht="29">
      <c r="A1" s="13" t="s">
        <v>1057</v>
      </c>
      <c r="G1" s="22"/>
      <c r="H1" s="22"/>
      <c r="I1" s="22"/>
      <c r="J1" s="409"/>
      <c r="K1" s="22"/>
      <c r="L1" s="410"/>
      <c r="M1" s="410"/>
      <c r="N1" s="410"/>
      <c r="O1" s="436"/>
      <c r="P1" s="437"/>
      <c r="Q1" s="437"/>
      <c r="R1" s="14"/>
    </row>
    <row r="2" spans="1:26" ht="29">
      <c r="A2" s="13" t="s">
        <v>1056</v>
      </c>
      <c r="H2" s="52"/>
      <c r="R2" s="14"/>
    </row>
    <row r="3" spans="1:26" ht="22.75" customHeight="1">
      <c r="B3" s="259" t="s">
        <v>928</v>
      </c>
      <c r="H3" s="438"/>
      <c r="K3" s="616" t="str">
        <f>IF(OR(K7="",K7="なし"),"特記事項","特記事項（記載必須）")</f>
        <v>特記事項</v>
      </c>
      <c r="L3" s="616"/>
      <c r="M3" s="616"/>
      <c r="N3" s="616"/>
      <c r="O3" s="616"/>
      <c r="P3" s="616"/>
      <c r="Q3" s="616"/>
      <c r="R3" s="616"/>
      <c r="S3" s="616"/>
      <c r="T3" s="616"/>
      <c r="U3" s="439"/>
      <c r="V3" s="439"/>
      <c r="W3" s="439"/>
      <c r="X3" s="439"/>
      <c r="Y3" s="439"/>
      <c r="Z3" s="440"/>
    </row>
    <row r="4" spans="1:26" ht="22.5" customHeight="1">
      <c r="B4" s="621" t="s">
        <v>20</v>
      </c>
      <c r="C4" s="622"/>
      <c r="D4" s="404" t="s">
        <v>21</v>
      </c>
      <c r="E4" s="404" t="s">
        <v>22</v>
      </c>
      <c r="F4" s="441" t="s">
        <v>23</v>
      </c>
      <c r="G4" s="404" t="s">
        <v>24</v>
      </c>
      <c r="H4" s="442"/>
      <c r="K4" s="617" t="s">
        <v>1038</v>
      </c>
      <c r="L4" s="617"/>
      <c r="M4" s="617"/>
      <c r="N4" s="617"/>
      <c r="O4" s="617"/>
      <c r="P4" s="617"/>
      <c r="Q4" s="617"/>
      <c r="R4" s="617"/>
      <c r="S4" s="617"/>
      <c r="T4" s="617"/>
      <c r="U4" s="443"/>
      <c r="V4" s="443"/>
      <c r="W4" s="443"/>
      <c r="X4" s="443"/>
      <c r="Y4" s="443"/>
      <c r="Z4" s="443"/>
    </row>
    <row r="5" spans="1:26" ht="22.5" customHeight="1">
      <c r="B5" s="623" t="s">
        <v>26</v>
      </c>
      <c r="C5" s="624"/>
      <c r="D5" s="404" t="s">
        <v>19</v>
      </c>
      <c r="E5" s="444">
        <f>$K$19</f>
        <v>0</v>
      </c>
      <c r="F5" s="445">
        <f>$T$19</f>
        <v>0</v>
      </c>
      <c r="G5" s="446">
        <f>W19</f>
        <v>0</v>
      </c>
      <c r="H5" s="442"/>
      <c r="K5" s="447"/>
      <c r="L5" s="447"/>
      <c r="M5" s="447"/>
      <c r="N5" s="440"/>
      <c r="O5" s="448"/>
      <c r="P5" s="448"/>
      <c r="Q5" s="447"/>
      <c r="R5" s="447"/>
      <c r="S5" s="447"/>
      <c r="T5" s="447"/>
      <c r="U5" s="447"/>
      <c r="V5" s="447"/>
      <c r="W5" s="447"/>
      <c r="X5" s="447"/>
      <c r="Y5" s="447"/>
    </row>
    <row r="6" spans="1:26" ht="22.5" customHeight="1">
      <c r="B6" s="623" t="s">
        <v>3</v>
      </c>
      <c r="C6" s="624"/>
      <c r="D6" s="403" t="s">
        <v>8</v>
      </c>
      <c r="E6" s="63">
        <f>$L$19</f>
        <v>0</v>
      </c>
      <c r="F6" s="449">
        <f>$U$19</f>
        <v>0</v>
      </c>
      <c r="G6" s="450">
        <f>ROUND(X19,1)</f>
        <v>0</v>
      </c>
      <c r="H6" s="442"/>
      <c r="K6" s="618" t="s">
        <v>939</v>
      </c>
      <c r="L6" s="618"/>
      <c r="M6" s="618"/>
      <c r="N6" s="618"/>
      <c r="O6" s="618"/>
      <c r="P6" s="618"/>
      <c r="Q6" s="618"/>
      <c r="R6" s="618"/>
      <c r="S6" s="618"/>
      <c r="T6" s="618"/>
      <c r="U6" s="451"/>
      <c r="V6" s="451"/>
      <c r="W6" s="451"/>
      <c r="X6" s="451"/>
      <c r="Y6" s="451"/>
      <c r="Z6" s="440"/>
    </row>
    <row r="7" spans="1:26" ht="22.5" customHeight="1">
      <c r="B7" s="625" t="s">
        <v>1117</v>
      </c>
      <c r="C7" s="626"/>
      <c r="D7" s="404" t="s">
        <v>762</v>
      </c>
      <c r="E7" s="63">
        <f>M20</f>
        <v>0</v>
      </c>
      <c r="F7" s="449">
        <f>V19</f>
        <v>0</v>
      </c>
      <c r="G7" s="452">
        <f>ROUND(Y19,1)</f>
        <v>0</v>
      </c>
      <c r="H7" s="438"/>
      <c r="K7" s="619" t="str">
        <f>IF(OR(D19=0,O19=0),"",IF(D19=O19,"なし",IF(D19&gt;O19,"減少","増加")))</f>
        <v/>
      </c>
      <c r="L7" s="619"/>
      <c r="M7" s="619" t="str">
        <f>IF(OR(K7="",K7="なし"),"ー",IF(K7="減少","減少する理由を特記事項欄に記載してください。","やむを得ず増加する場合は特記事項欄に理由を記載してください。"))</f>
        <v>ー</v>
      </c>
      <c r="N7" s="619"/>
      <c r="O7" s="619"/>
      <c r="P7" s="619"/>
      <c r="Q7" s="619"/>
      <c r="R7" s="619"/>
      <c r="S7" s="619"/>
      <c r="T7" s="619"/>
      <c r="U7" s="439"/>
      <c r="V7" s="439"/>
      <c r="W7" s="439"/>
      <c r="X7" s="439"/>
      <c r="Y7" s="439"/>
      <c r="Z7" s="440"/>
    </row>
    <row r="8" spans="1:26" ht="20" customHeight="1">
      <c r="B8" s="453" t="s">
        <v>1050</v>
      </c>
      <c r="H8" s="52"/>
      <c r="K8" s="447"/>
      <c r="L8" s="447"/>
      <c r="M8" s="447"/>
      <c r="N8" s="440"/>
      <c r="O8" s="448"/>
      <c r="P8" s="448"/>
      <c r="Q8" s="447"/>
      <c r="R8" s="447"/>
      <c r="S8" s="447"/>
      <c r="T8" s="447"/>
      <c r="U8" s="447"/>
      <c r="V8" s="447"/>
      <c r="W8" s="447"/>
      <c r="X8" s="447"/>
      <c r="Y8" s="447"/>
    </row>
    <row r="9" spans="1:26" ht="20" customHeight="1" thickBot="1">
      <c r="B9" s="453"/>
      <c r="H9" s="52"/>
      <c r="K9" s="447"/>
      <c r="L9" s="447"/>
      <c r="M9" s="447"/>
      <c r="N9" s="440"/>
      <c r="O9" s="448"/>
      <c r="P9" s="448"/>
      <c r="Q9" s="447"/>
      <c r="R9" s="447"/>
      <c r="S9" s="447"/>
      <c r="T9" s="447"/>
      <c r="U9" s="447"/>
      <c r="V9" s="447"/>
      <c r="W9" s="447"/>
      <c r="X9" s="447"/>
      <c r="Y9" s="447"/>
    </row>
    <row r="10" spans="1:26" ht="20" customHeight="1">
      <c r="B10" s="453"/>
      <c r="H10" s="52"/>
      <c r="K10" s="454" t="s">
        <v>881</v>
      </c>
      <c r="L10" s="455"/>
      <c r="M10" s="455"/>
      <c r="N10" s="455"/>
      <c r="O10" s="455"/>
      <c r="P10" s="455"/>
      <c r="Q10" s="456"/>
      <c r="R10" s="457" t="s">
        <v>878</v>
      </c>
      <c r="S10" s="458"/>
      <c r="T10" s="458"/>
      <c r="U10" s="458"/>
      <c r="V10" s="458"/>
      <c r="W10" s="458"/>
      <c r="X10" s="458"/>
      <c r="Y10" s="459"/>
      <c r="Z10" s="460"/>
    </row>
    <row r="11" spans="1:26" ht="20" customHeight="1" thickBot="1">
      <c r="B11" s="453"/>
      <c r="H11" s="52"/>
      <c r="K11" s="461" t="s">
        <v>879</v>
      </c>
      <c r="L11" s="462"/>
      <c r="M11" s="462"/>
      <c r="N11" s="462"/>
      <c r="O11" s="462"/>
      <c r="P11" s="462"/>
      <c r="Q11" s="463"/>
      <c r="R11" s="464" t="s">
        <v>880</v>
      </c>
      <c r="S11" s="465"/>
      <c r="T11" s="465"/>
      <c r="U11" s="465"/>
      <c r="V11" s="465"/>
      <c r="W11" s="465"/>
      <c r="X11" s="465"/>
      <c r="Y11" s="466"/>
      <c r="Z11" s="460"/>
    </row>
    <row r="15" spans="1:26">
      <c r="B15" s="467" t="str">
        <f>HYPERLINK("#B554", "【記入例：B521】ハイパーリンク")</f>
        <v>【記入例：B521】ハイパーリンク</v>
      </c>
      <c r="L15" s="468"/>
      <c r="M15" s="468"/>
      <c r="O15" s="14"/>
      <c r="P15" s="14"/>
      <c r="Q15" s="14"/>
      <c r="R15" s="14"/>
    </row>
    <row r="16" spans="1:26">
      <c r="B16" s="620" t="s">
        <v>20</v>
      </c>
      <c r="C16" s="264" t="s">
        <v>22</v>
      </c>
      <c r="D16" s="469"/>
      <c r="E16" s="469"/>
      <c r="F16" s="469"/>
      <c r="G16" s="469"/>
      <c r="H16" s="469"/>
      <c r="I16" s="469"/>
      <c r="J16" s="469"/>
      <c r="K16" s="469"/>
      <c r="L16" s="469"/>
      <c r="M16" s="412"/>
      <c r="N16" s="265" t="s">
        <v>942</v>
      </c>
      <c r="O16" s="104"/>
      <c r="P16" s="104"/>
      <c r="Q16" s="104"/>
      <c r="R16" s="104"/>
      <c r="S16" s="104"/>
      <c r="T16" s="104"/>
      <c r="U16" s="104"/>
      <c r="V16" s="105"/>
      <c r="W16" s="414" t="s">
        <v>31</v>
      </c>
      <c r="X16" s="414"/>
      <c r="Y16" s="414"/>
    </row>
    <row r="17" spans="2:25" ht="33" customHeight="1">
      <c r="B17" s="611"/>
      <c r="C17" s="470" t="s">
        <v>963</v>
      </c>
      <c r="D17" s="471" t="s">
        <v>940</v>
      </c>
      <c r="E17" s="471" t="s">
        <v>33</v>
      </c>
      <c r="F17" s="471" t="s">
        <v>748</v>
      </c>
      <c r="G17" s="471" t="s">
        <v>351</v>
      </c>
      <c r="H17" s="471" t="s">
        <v>1061</v>
      </c>
      <c r="I17" s="471" t="s">
        <v>1059</v>
      </c>
      <c r="J17" s="471" t="s">
        <v>749</v>
      </c>
      <c r="K17" s="471" t="s">
        <v>352</v>
      </c>
      <c r="L17" s="471" t="s">
        <v>36</v>
      </c>
      <c r="M17" s="471" t="s">
        <v>1117</v>
      </c>
      <c r="N17" s="470" t="s">
        <v>892</v>
      </c>
      <c r="O17" s="471" t="s">
        <v>941</v>
      </c>
      <c r="P17" s="471" t="s">
        <v>37</v>
      </c>
      <c r="Q17" s="471" t="s">
        <v>1061</v>
      </c>
      <c r="R17" s="471" t="s">
        <v>1060</v>
      </c>
      <c r="S17" s="471" t="s">
        <v>750</v>
      </c>
      <c r="T17" s="471" t="s">
        <v>353</v>
      </c>
      <c r="U17" s="471" t="s">
        <v>41</v>
      </c>
      <c r="V17" s="471" t="s">
        <v>1117</v>
      </c>
      <c r="W17" s="176" t="s">
        <v>42</v>
      </c>
      <c r="X17" s="176" t="s">
        <v>43</v>
      </c>
      <c r="Y17" s="176" t="s">
        <v>1049</v>
      </c>
    </row>
    <row r="18" spans="2:25" ht="21.65" customHeight="1">
      <c r="B18" s="100" t="s">
        <v>21</v>
      </c>
      <c r="C18" s="193"/>
      <c r="D18" s="402" t="s">
        <v>45</v>
      </c>
      <c r="E18" s="402" t="s">
        <v>44</v>
      </c>
      <c r="F18" s="402" t="s">
        <v>46</v>
      </c>
      <c r="G18" s="402" t="s">
        <v>47</v>
      </c>
      <c r="H18" s="141"/>
      <c r="I18" s="402" t="s">
        <v>133</v>
      </c>
      <c r="J18" s="472" t="s">
        <v>48</v>
      </c>
      <c r="K18" s="402" t="s">
        <v>19</v>
      </c>
      <c r="L18" s="101" t="s">
        <v>8</v>
      </c>
      <c r="M18" s="101" t="s">
        <v>943</v>
      </c>
      <c r="N18" s="473"/>
      <c r="O18" s="402" t="s">
        <v>45</v>
      </c>
      <c r="P18" s="402" t="s">
        <v>44</v>
      </c>
      <c r="Q18" s="141"/>
      <c r="R18" s="402" t="s">
        <v>230</v>
      </c>
      <c r="S18" s="402" t="s">
        <v>48</v>
      </c>
      <c r="T18" s="402" t="s">
        <v>19</v>
      </c>
      <c r="U18" s="101" t="s">
        <v>8</v>
      </c>
      <c r="V18" s="101" t="s">
        <v>943</v>
      </c>
      <c r="W18" s="402" t="s">
        <v>19</v>
      </c>
      <c r="X18" s="101" t="s">
        <v>8</v>
      </c>
      <c r="Y18" s="402" t="s">
        <v>763</v>
      </c>
    </row>
    <row r="19" spans="2:25">
      <c r="B19" s="402" t="s">
        <v>16</v>
      </c>
      <c r="C19" s="474"/>
      <c r="D19" s="475">
        <f>SUM(D20:D519)</f>
        <v>0</v>
      </c>
      <c r="E19" s="476"/>
      <c r="F19" s="477"/>
      <c r="G19" s="477"/>
      <c r="H19" s="474"/>
      <c r="I19" s="477"/>
      <c r="J19" s="478"/>
      <c r="K19" s="479">
        <f>SUM(K20:K519)</f>
        <v>0</v>
      </c>
      <c r="L19" s="379">
        <f>SUM(L20:L519)</f>
        <v>0</v>
      </c>
      <c r="M19" s="379">
        <f>SUM(M20:M519)</f>
        <v>0</v>
      </c>
      <c r="N19" s="480"/>
      <c r="O19" s="475">
        <f>SUM(O20:O519)</f>
        <v>0</v>
      </c>
      <c r="P19" s="474"/>
      <c r="Q19" s="474"/>
      <c r="R19" s="477"/>
      <c r="S19" s="481"/>
      <c r="T19" s="479">
        <f t="shared" ref="T19:Y19" si="0">SUM(T20:T519)</f>
        <v>0</v>
      </c>
      <c r="U19" s="379">
        <f t="shared" si="0"/>
        <v>0</v>
      </c>
      <c r="V19" s="379">
        <f t="shared" si="0"/>
        <v>0</v>
      </c>
      <c r="W19" s="479">
        <f t="shared" si="0"/>
        <v>0</v>
      </c>
      <c r="X19" s="482">
        <f t="shared" si="0"/>
        <v>0</v>
      </c>
      <c r="Y19" s="483">
        <f t="shared" si="0"/>
        <v>0</v>
      </c>
    </row>
    <row r="20" spans="2:25">
      <c r="B20" s="100" t="s">
        <v>49</v>
      </c>
      <c r="C20" s="12"/>
      <c r="D20" s="3"/>
      <c r="E20" s="77"/>
      <c r="F20" s="62"/>
      <c r="G20" s="62"/>
      <c r="H20" s="84" t="s">
        <v>382</v>
      </c>
      <c r="I20" s="3"/>
      <c r="J20" s="60">
        <f>IF(H20="○",F20*G20*I20/100,F20*G20)</f>
        <v>0</v>
      </c>
      <c r="K20" s="60">
        <f>E20*D20*J20/1000</f>
        <v>0</v>
      </c>
      <c r="L20" s="61">
        <f>K20*係数!$H$30</f>
        <v>0</v>
      </c>
      <c r="M20" s="61">
        <f>K20*係数!$C$30*0.0000258</f>
        <v>0</v>
      </c>
      <c r="N20" s="12"/>
      <c r="O20" s="3"/>
      <c r="P20" s="3"/>
      <c r="Q20" s="84" t="s">
        <v>382</v>
      </c>
      <c r="R20" s="3"/>
      <c r="S20" s="488">
        <f>IF(Q20="○",F20*G20*R20/100,F20*G20)</f>
        <v>0</v>
      </c>
      <c r="T20" s="8">
        <f>P20*O20*S20/1000</f>
        <v>0</v>
      </c>
      <c r="U20" s="61">
        <f>T20*係数!$H$30</f>
        <v>0</v>
      </c>
      <c r="V20" s="61">
        <f>T20*係数!$C$30*0.0000258</f>
        <v>0</v>
      </c>
      <c r="W20" s="8">
        <f t="shared" ref="W20:W83" si="1">K20-T20</f>
        <v>0</v>
      </c>
      <c r="X20" s="272">
        <f t="shared" ref="X20:X83" si="2">L20-U20</f>
        <v>0</v>
      </c>
      <c r="Y20" s="489">
        <f t="shared" ref="Y20:Y83" si="3">M20-V20</f>
        <v>0</v>
      </c>
    </row>
    <row r="21" spans="2:25">
      <c r="B21" s="100" t="s">
        <v>50</v>
      </c>
      <c r="C21" s="12"/>
      <c r="D21" s="3"/>
      <c r="E21" s="77"/>
      <c r="F21" s="62"/>
      <c r="G21" s="62"/>
      <c r="H21" s="84" t="s">
        <v>382</v>
      </c>
      <c r="I21" s="3"/>
      <c r="J21" s="60">
        <f t="shared" ref="J21:J84" si="4">IF(H21="○",F21*G21*I21/100,F21*G21)</f>
        <v>0</v>
      </c>
      <c r="K21" s="60">
        <f t="shared" ref="K21:K83" si="5">E21*D21*J21/1000</f>
        <v>0</v>
      </c>
      <c r="L21" s="61">
        <f>K21*係数!$H$30</f>
        <v>0</v>
      </c>
      <c r="M21" s="61">
        <f>K21*係数!$C$30*0.0000258</f>
        <v>0</v>
      </c>
      <c r="N21" s="12"/>
      <c r="O21" s="3"/>
      <c r="P21" s="3"/>
      <c r="Q21" s="84" t="s">
        <v>382</v>
      </c>
      <c r="R21" s="3"/>
      <c r="S21" s="488">
        <f t="shared" ref="S21:S83" si="6">IF(Q21="○",F21*G21*R21/100,F21*G21)</f>
        <v>0</v>
      </c>
      <c r="T21" s="8">
        <f t="shared" ref="T21:T83" si="7">P21*O21*S21/1000</f>
        <v>0</v>
      </c>
      <c r="U21" s="61">
        <f>T21*係数!$H$30</f>
        <v>0</v>
      </c>
      <c r="V21" s="61">
        <f>T21*係数!$C$30*0.0000258</f>
        <v>0</v>
      </c>
      <c r="W21" s="8">
        <f t="shared" si="1"/>
        <v>0</v>
      </c>
      <c r="X21" s="272">
        <f t="shared" si="2"/>
        <v>0</v>
      </c>
      <c r="Y21" s="489">
        <f t="shared" si="3"/>
        <v>0</v>
      </c>
    </row>
    <row r="22" spans="2:25">
      <c r="B22" s="100" t="s">
        <v>51</v>
      </c>
      <c r="C22" s="12"/>
      <c r="D22" s="3"/>
      <c r="E22" s="77"/>
      <c r="F22" s="62"/>
      <c r="G22" s="62"/>
      <c r="H22" s="84" t="s">
        <v>382</v>
      </c>
      <c r="I22" s="3"/>
      <c r="J22" s="60">
        <f t="shared" si="4"/>
        <v>0</v>
      </c>
      <c r="K22" s="60">
        <f t="shared" si="5"/>
        <v>0</v>
      </c>
      <c r="L22" s="61">
        <f>K22*係数!$H$30</f>
        <v>0</v>
      </c>
      <c r="M22" s="61">
        <f>K22*係数!$C$30*0.0000258</f>
        <v>0</v>
      </c>
      <c r="N22" s="12"/>
      <c r="O22" s="3"/>
      <c r="P22" s="3"/>
      <c r="Q22" s="84" t="s">
        <v>382</v>
      </c>
      <c r="R22" s="3"/>
      <c r="S22" s="488">
        <f t="shared" si="6"/>
        <v>0</v>
      </c>
      <c r="T22" s="8">
        <f t="shared" si="7"/>
        <v>0</v>
      </c>
      <c r="U22" s="61">
        <f>T22*係数!$H$30</f>
        <v>0</v>
      </c>
      <c r="V22" s="61">
        <f>T22*係数!$C$30*0.0000258</f>
        <v>0</v>
      </c>
      <c r="W22" s="8">
        <f t="shared" si="1"/>
        <v>0</v>
      </c>
      <c r="X22" s="272">
        <f t="shared" si="2"/>
        <v>0</v>
      </c>
      <c r="Y22" s="489">
        <f t="shared" si="3"/>
        <v>0</v>
      </c>
    </row>
    <row r="23" spans="2:25">
      <c r="B23" s="100" t="s">
        <v>52</v>
      </c>
      <c r="C23" s="12"/>
      <c r="D23" s="3"/>
      <c r="E23" s="77"/>
      <c r="F23" s="62"/>
      <c r="G23" s="62"/>
      <c r="H23" s="84" t="s">
        <v>382</v>
      </c>
      <c r="I23" s="3"/>
      <c r="J23" s="60">
        <f t="shared" si="4"/>
        <v>0</v>
      </c>
      <c r="K23" s="60">
        <f t="shared" si="5"/>
        <v>0</v>
      </c>
      <c r="L23" s="61">
        <f>K23*係数!$H$30</f>
        <v>0</v>
      </c>
      <c r="M23" s="61">
        <f>K23*係数!$C$30*0.0000258</f>
        <v>0</v>
      </c>
      <c r="N23" s="12"/>
      <c r="O23" s="3"/>
      <c r="P23" s="3"/>
      <c r="Q23" s="84" t="s">
        <v>382</v>
      </c>
      <c r="R23" s="3"/>
      <c r="S23" s="488">
        <f t="shared" si="6"/>
        <v>0</v>
      </c>
      <c r="T23" s="8">
        <f t="shared" si="7"/>
        <v>0</v>
      </c>
      <c r="U23" s="61">
        <f>T23*係数!$H$30</f>
        <v>0</v>
      </c>
      <c r="V23" s="61">
        <f>T23*係数!$C$30*0.0000258</f>
        <v>0</v>
      </c>
      <c r="W23" s="8">
        <f t="shared" si="1"/>
        <v>0</v>
      </c>
      <c r="X23" s="272">
        <f t="shared" si="2"/>
        <v>0</v>
      </c>
      <c r="Y23" s="489">
        <f t="shared" si="3"/>
        <v>0</v>
      </c>
    </row>
    <row r="24" spans="2:25">
      <c r="B24" s="100" t="s">
        <v>53</v>
      </c>
      <c r="C24" s="12"/>
      <c r="D24" s="3"/>
      <c r="E24" s="77"/>
      <c r="F24" s="62"/>
      <c r="G24" s="62"/>
      <c r="H24" s="84" t="s">
        <v>382</v>
      </c>
      <c r="I24" s="3"/>
      <c r="J24" s="60">
        <f t="shared" si="4"/>
        <v>0</v>
      </c>
      <c r="K24" s="60">
        <f t="shared" si="5"/>
        <v>0</v>
      </c>
      <c r="L24" s="61">
        <f>K24*係数!$H$30</f>
        <v>0</v>
      </c>
      <c r="M24" s="61">
        <f>K24*係数!$C$30*0.0000258</f>
        <v>0</v>
      </c>
      <c r="N24" s="12"/>
      <c r="O24" s="3"/>
      <c r="P24" s="3"/>
      <c r="Q24" s="84" t="s">
        <v>382</v>
      </c>
      <c r="R24" s="3"/>
      <c r="S24" s="488">
        <f t="shared" si="6"/>
        <v>0</v>
      </c>
      <c r="T24" s="8">
        <f t="shared" si="7"/>
        <v>0</v>
      </c>
      <c r="U24" s="61">
        <f>T24*係数!$H$30</f>
        <v>0</v>
      </c>
      <c r="V24" s="61">
        <f>T24*係数!$C$30*0.0000258</f>
        <v>0</v>
      </c>
      <c r="W24" s="8">
        <f t="shared" si="1"/>
        <v>0</v>
      </c>
      <c r="X24" s="272">
        <f t="shared" si="2"/>
        <v>0</v>
      </c>
      <c r="Y24" s="489">
        <f t="shared" si="3"/>
        <v>0</v>
      </c>
    </row>
    <row r="25" spans="2:25">
      <c r="B25" s="100" t="s">
        <v>54</v>
      </c>
      <c r="C25" s="12"/>
      <c r="D25" s="3"/>
      <c r="E25" s="77"/>
      <c r="F25" s="62"/>
      <c r="G25" s="62"/>
      <c r="H25" s="84" t="s">
        <v>382</v>
      </c>
      <c r="I25" s="3"/>
      <c r="J25" s="60">
        <f t="shared" si="4"/>
        <v>0</v>
      </c>
      <c r="K25" s="60">
        <f t="shared" si="5"/>
        <v>0</v>
      </c>
      <c r="L25" s="61">
        <f>K25*係数!$H$30</f>
        <v>0</v>
      </c>
      <c r="M25" s="61">
        <f>K25*係数!$C$30*0.0000258</f>
        <v>0</v>
      </c>
      <c r="N25" s="12"/>
      <c r="O25" s="3"/>
      <c r="P25" s="3"/>
      <c r="Q25" s="84" t="s">
        <v>382</v>
      </c>
      <c r="R25" s="3"/>
      <c r="S25" s="488">
        <f t="shared" si="6"/>
        <v>0</v>
      </c>
      <c r="T25" s="8">
        <f t="shared" si="7"/>
        <v>0</v>
      </c>
      <c r="U25" s="61">
        <f>T25*係数!$H$30</f>
        <v>0</v>
      </c>
      <c r="V25" s="61">
        <f>T25*係数!$C$30*0.0000258</f>
        <v>0</v>
      </c>
      <c r="W25" s="8">
        <f t="shared" si="1"/>
        <v>0</v>
      </c>
      <c r="X25" s="272">
        <f t="shared" si="2"/>
        <v>0</v>
      </c>
      <c r="Y25" s="489">
        <f t="shared" si="3"/>
        <v>0</v>
      </c>
    </row>
    <row r="26" spans="2:25">
      <c r="B26" s="100" t="s">
        <v>55</v>
      </c>
      <c r="C26" s="12"/>
      <c r="D26" s="3"/>
      <c r="E26" s="77"/>
      <c r="F26" s="62"/>
      <c r="G26" s="62"/>
      <c r="H26" s="84" t="s">
        <v>382</v>
      </c>
      <c r="I26" s="3"/>
      <c r="J26" s="60">
        <f t="shared" si="4"/>
        <v>0</v>
      </c>
      <c r="K26" s="60">
        <f t="shared" si="5"/>
        <v>0</v>
      </c>
      <c r="L26" s="61">
        <f>K26*係数!$H$30</f>
        <v>0</v>
      </c>
      <c r="M26" s="61">
        <f>K26*係数!$C$30*0.0000258</f>
        <v>0</v>
      </c>
      <c r="N26" s="12"/>
      <c r="O26" s="3"/>
      <c r="P26" s="3"/>
      <c r="Q26" s="84" t="s">
        <v>382</v>
      </c>
      <c r="R26" s="3"/>
      <c r="S26" s="488">
        <f t="shared" si="6"/>
        <v>0</v>
      </c>
      <c r="T26" s="8">
        <f t="shared" si="7"/>
        <v>0</v>
      </c>
      <c r="U26" s="61">
        <f>T26*係数!$H$30</f>
        <v>0</v>
      </c>
      <c r="V26" s="61">
        <f>T26*係数!$C$30*0.0000258</f>
        <v>0</v>
      </c>
      <c r="W26" s="8">
        <f t="shared" si="1"/>
        <v>0</v>
      </c>
      <c r="X26" s="272">
        <f t="shared" si="2"/>
        <v>0</v>
      </c>
      <c r="Y26" s="489">
        <f t="shared" si="3"/>
        <v>0</v>
      </c>
    </row>
    <row r="27" spans="2:25">
      <c r="B27" s="100" t="s">
        <v>56</v>
      </c>
      <c r="C27" s="12"/>
      <c r="D27" s="3"/>
      <c r="E27" s="77"/>
      <c r="F27" s="62"/>
      <c r="G27" s="62"/>
      <c r="H27" s="84" t="s">
        <v>382</v>
      </c>
      <c r="I27" s="3"/>
      <c r="J27" s="60">
        <f t="shared" si="4"/>
        <v>0</v>
      </c>
      <c r="K27" s="60">
        <f t="shared" si="5"/>
        <v>0</v>
      </c>
      <c r="L27" s="61">
        <f>K27*係数!$H$30</f>
        <v>0</v>
      </c>
      <c r="M27" s="61">
        <f>K27*係数!$C$30*0.0000258</f>
        <v>0</v>
      </c>
      <c r="N27" s="12"/>
      <c r="O27" s="3"/>
      <c r="P27" s="3"/>
      <c r="Q27" s="84" t="s">
        <v>382</v>
      </c>
      <c r="R27" s="3"/>
      <c r="S27" s="488">
        <f t="shared" si="6"/>
        <v>0</v>
      </c>
      <c r="T27" s="8">
        <f t="shared" si="7"/>
        <v>0</v>
      </c>
      <c r="U27" s="61">
        <f>T27*係数!$H$30</f>
        <v>0</v>
      </c>
      <c r="V27" s="61">
        <f>T27*係数!$C$30*0.0000258</f>
        <v>0</v>
      </c>
      <c r="W27" s="8">
        <f t="shared" si="1"/>
        <v>0</v>
      </c>
      <c r="X27" s="272">
        <f t="shared" si="2"/>
        <v>0</v>
      </c>
      <c r="Y27" s="489">
        <f t="shared" si="3"/>
        <v>0</v>
      </c>
    </row>
    <row r="28" spans="2:25">
      <c r="B28" s="100" t="s">
        <v>57</v>
      </c>
      <c r="C28" s="12"/>
      <c r="D28" s="3"/>
      <c r="E28" s="77"/>
      <c r="F28" s="62"/>
      <c r="G28" s="62"/>
      <c r="H28" s="84" t="s">
        <v>382</v>
      </c>
      <c r="I28" s="3"/>
      <c r="J28" s="60">
        <f t="shared" si="4"/>
        <v>0</v>
      </c>
      <c r="K28" s="60">
        <f t="shared" si="5"/>
        <v>0</v>
      </c>
      <c r="L28" s="61">
        <f>K28*係数!$H$30</f>
        <v>0</v>
      </c>
      <c r="M28" s="61">
        <f>K28*係数!$C$30*0.0000258</f>
        <v>0</v>
      </c>
      <c r="N28" s="12"/>
      <c r="O28" s="3"/>
      <c r="P28" s="3"/>
      <c r="Q28" s="84" t="s">
        <v>382</v>
      </c>
      <c r="R28" s="3"/>
      <c r="S28" s="488">
        <f t="shared" si="6"/>
        <v>0</v>
      </c>
      <c r="T28" s="8">
        <f t="shared" si="7"/>
        <v>0</v>
      </c>
      <c r="U28" s="61">
        <f>T28*係数!$H$30</f>
        <v>0</v>
      </c>
      <c r="V28" s="61">
        <f>T28*係数!$C$30*0.0000258</f>
        <v>0</v>
      </c>
      <c r="W28" s="8">
        <f t="shared" si="1"/>
        <v>0</v>
      </c>
      <c r="X28" s="272">
        <f t="shared" si="2"/>
        <v>0</v>
      </c>
      <c r="Y28" s="489">
        <f t="shared" si="3"/>
        <v>0</v>
      </c>
    </row>
    <row r="29" spans="2:25">
      <c r="B29" s="100" t="s">
        <v>58</v>
      </c>
      <c r="C29" s="12"/>
      <c r="D29" s="3"/>
      <c r="E29" s="77"/>
      <c r="F29" s="62"/>
      <c r="G29" s="62"/>
      <c r="H29" s="84" t="s">
        <v>382</v>
      </c>
      <c r="I29" s="3"/>
      <c r="J29" s="60">
        <f t="shared" si="4"/>
        <v>0</v>
      </c>
      <c r="K29" s="60">
        <f t="shared" si="5"/>
        <v>0</v>
      </c>
      <c r="L29" s="61">
        <f>K29*係数!$H$30</f>
        <v>0</v>
      </c>
      <c r="M29" s="61">
        <f>K29*係数!$C$30*0.0000258</f>
        <v>0</v>
      </c>
      <c r="N29" s="12"/>
      <c r="O29" s="3"/>
      <c r="P29" s="3"/>
      <c r="Q29" s="84" t="s">
        <v>382</v>
      </c>
      <c r="R29" s="3"/>
      <c r="S29" s="488">
        <f t="shared" si="6"/>
        <v>0</v>
      </c>
      <c r="T29" s="8">
        <f t="shared" si="7"/>
        <v>0</v>
      </c>
      <c r="U29" s="61">
        <f>T29*係数!$H$30</f>
        <v>0</v>
      </c>
      <c r="V29" s="61">
        <f>T29*係数!$C$30*0.0000258</f>
        <v>0</v>
      </c>
      <c r="W29" s="8">
        <f t="shared" si="1"/>
        <v>0</v>
      </c>
      <c r="X29" s="272">
        <f t="shared" si="2"/>
        <v>0</v>
      </c>
      <c r="Y29" s="489">
        <f t="shared" si="3"/>
        <v>0</v>
      </c>
    </row>
    <row r="30" spans="2:25">
      <c r="B30" s="100" t="s">
        <v>59</v>
      </c>
      <c r="C30" s="12"/>
      <c r="D30" s="3"/>
      <c r="E30" s="77"/>
      <c r="F30" s="62"/>
      <c r="G30" s="62"/>
      <c r="H30" s="84" t="s">
        <v>382</v>
      </c>
      <c r="I30" s="3"/>
      <c r="J30" s="60">
        <f t="shared" si="4"/>
        <v>0</v>
      </c>
      <c r="K30" s="60">
        <f t="shared" si="5"/>
        <v>0</v>
      </c>
      <c r="L30" s="61">
        <f>K30*係数!$H$30</f>
        <v>0</v>
      </c>
      <c r="M30" s="61">
        <f>K30*係数!$C$30*0.0000258</f>
        <v>0</v>
      </c>
      <c r="N30" s="12"/>
      <c r="O30" s="3"/>
      <c r="P30" s="3"/>
      <c r="Q30" s="84" t="s">
        <v>382</v>
      </c>
      <c r="R30" s="3"/>
      <c r="S30" s="488">
        <f t="shared" si="6"/>
        <v>0</v>
      </c>
      <c r="T30" s="8">
        <f t="shared" si="7"/>
        <v>0</v>
      </c>
      <c r="U30" s="61">
        <f>T30*係数!$H$30</f>
        <v>0</v>
      </c>
      <c r="V30" s="61">
        <f>T30*係数!$C$30*0.0000258</f>
        <v>0</v>
      </c>
      <c r="W30" s="8">
        <f t="shared" si="1"/>
        <v>0</v>
      </c>
      <c r="X30" s="272">
        <f t="shared" si="2"/>
        <v>0</v>
      </c>
      <c r="Y30" s="489">
        <f t="shared" si="3"/>
        <v>0</v>
      </c>
    </row>
    <row r="31" spans="2:25">
      <c r="B31" s="100" t="s">
        <v>60</v>
      </c>
      <c r="C31" s="12"/>
      <c r="D31" s="3"/>
      <c r="E31" s="77"/>
      <c r="F31" s="62"/>
      <c r="G31" s="62"/>
      <c r="H31" s="84" t="s">
        <v>382</v>
      </c>
      <c r="I31" s="3"/>
      <c r="J31" s="60">
        <f t="shared" si="4"/>
        <v>0</v>
      </c>
      <c r="K31" s="60">
        <f t="shared" si="5"/>
        <v>0</v>
      </c>
      <c r="L31" s="61">
        <f>K31*係数!$H$30</f>
        <v>0</v>
      </c>
      <c r="M31" s="61">
        <f>K31*係数!$C$30*0.0000258</f>
        <v>0</v>
      </c>
      <c r="N31" s="12"/>
      <c r="O31" s="3"/>
      <c r="P31" s="3"/>
      <c r="Q31" s="84" t="s">
        <v>382</v>
      </c>
      <c r="R31" s="3"/>
      <c r="S31" s="488">
        <f t="shared" si="6"/>
        <v>0</v>
      </c>
      <c r="T31" s="8">
        <f t="shared" si="7"/>
        <v>0</v>
      </c>
      <c r="U31" s="61">
        <f>T31*係数!$H$30</f>
        <v>0</v>
      </c>
      <c r="V31" s="61">
        <f>T31*係数!$C$30*0.0000258</f>
        <v>0</v>
      </c>
      <c r="W31" s="8">
        <f t="shared" si="1"/>
        <v>0</v>
      </c>
      <c r="X31" s="272">
        <f t="shared" si="2"/>
        <v>0</v>
      </c>
      <c r="Y31" s="489">
        <f t="shared" si="3"/>
        <v>0</v>
      </c>
    </row>
    <row r="32" spans="2:25">
      <c r="B32" s="100" t="s">
        <v>61</v>
      </c>
      <c r="C32" s="12"/>
      <c r="D32" s="3"/>
      <c r="E32" s="77"/>
      <c r="F32" s="62"/>
      <c r="G32" s="62"/>
      <c r="H32" s="84" t="s">
        <v>382</v>
      </c>
      <c r="I32" s="3"/>
      <c r="J32" s="60">
        <f t="shared" si="4"/>
        <v>0</v>
      </c>
      <c r="K32" s="60">
        <f t="shared" si="5"/>
        <v>0</v>
      </c>
      <c r="L32" s="61">
        <f>K32*係数!$H$30</f>
        <v>0</v>
      </c>
      <c r="M32" s="61">
        <f>K32*係数!$C$30*0.0000258</f>
        <v>0</v>
      </c>
      <c r="N32" s="12"/>
      <c r="O32" s="3"/>
      <c r="P32" s="3"/>
      <c r="Q32" s="84" t="s">
        <v>382</v>
      </c>
      <c r="R32" s="3"/>
      <c r="S32" s="488">
        <f t="shared" si="6"/>
        <v>0</v>
      </c>
      <c r="T32" s="8">
        <f t="shared" si="7"/>
        <v>0</v>
      </c>
      <c r="U32" s="61">
        <f>T32*係数!$H$30</f>
        <v>0</v>
      </c>
      <c r="V32" s="61">
        <f>T32*係数!$C$30*0.0000258</f>
        <v>0</v>
      </c>
      <c r="W32" s="8">
        <f t="shared" si="1"/>
        <v>0</v>
      </c>
      <c r="X32" s="272">
        <f t="shared" si="2"/>
        <v>0</v>
      </c>
      <c r="Y32" s="489">
        <f t="shared" si="3"/>
        <v>0</v>
      </c>
    </row>
    <row r="33" spans="2:25">
      <c r="B33" s="100" t="s">
        <v>62</v>
      </c>
      <c r="C33" s="12"/>
      <c r="D33" s="3"/>
      <c r="E33" s="77"/>
      <c r="F33" s="62"/>
      <c r="G33" s="62"/>
      <c r="H33" s="84" t="s">
        <v>382</v>
      </c>
      <c r="I33" s="3"/>
      <c r="J33" s="60">
        <f t="shared" si="4"/>
        <v>0</v>
      </c>
      <c r="K33" s="60">
        <f t="shared" si="5"/>
        <v>0</v>
      </c>
      <c r="L33" s="61">
        <f>K33*係数!$H$30</f>
        <v>0</v>
      </c>
      <c r="M33" s="61">
        <f>K33*係数!$C$30*0.0000258</f>
        <v>0</v>
      </c>
      <c r="N33" s="12"/>
      <c r="O33" s="3"/>
      <c r="P33" s="3"/>
      <c r="Q33" s="84" t="s">
        <v>382</v>
      </c>
      <c r="R33" s="3"/>
      <c r="S33" s="488">
        <f t="shared" si="6"/>
        <v>0</v>
      </c>
      <c r="T33" s="8">
        <f t="shared" si="7"/>
        <v>0</v>
      </c>
      <c r="U33" s="61">
        <f>T33*係数!$H$30</f>
        <v>0</v>
      </c>
      <c r="V33" s="61">
        <f>T33*係数!$C$30*0.0000258</f>
        <v>0</v>
      </c>
      <c r="W33" s="8">
        <f t="shared" si="1"/>
        <v>0</v>
      </c>
      <c r="X33" s="272">
        <f t="shared" si="2"/>
        <v>0</v>
      </c>
      <c r="Y33" s="489">
        <f t="shared" si="3"/>
        <v>0</v>
      </c>
    </row>
    <row r="34" spans="2:25">
      <c r="B34" s="100" t="s">
        <v>63</v>
      </c>
      <c r="C34" s="12"/>
      <c r="D34" s="3"/>
      <c r="E34" s="77"/>
      <c r="F34" s="62"/>
      <c r="G34" s="62"/>
      <c r="H34" s="84" t="s">
        <v>382</v>
      </c>
      <c r="I34" s="3"/>
      <c r="J34" s="60">
        <f t="shared" si="4"/>
        <v>0</v>
      </c>
      <c r="K34" s="60">
        <f t="shared" si="5"/>
        <v>0</v>
      </c>
      <c r="L34" s="61">
        <f>K34*係数!$H$30</f>
        <v>0</v>
      </c>
      <c r="M34" s="61">
        <f>K34*係数!$C$30*0.0000258</f>
        <v>0</v>
      </c>
      <c r="N34" s="12"/>
      <c r="O34" s="3"/>
      <c r="P34" s="3"/>
      <c r="Q34" s="84" t="s">
        <v>382</v>
      </c>
      <c r="R34" s="3"/>
      <c r="S34" s="488">
        <f t="shared" si="6"/>
        <v>0</v>
      </c>
      <c r="T34" s="8">
        <f t="shared" si="7"/>
        <v>0</v>
      </c>
      <c r="U34" s="61">
        <f>T34*係数!$H$30</f>
        <v>0</v>
      </c>
      <c r="V34" s="61">
        <f>T34*係数!$C$30*0.0000258</f>
        <v>0</v>
      </c>
      <c r="W34" s="8">
        <f t="shared" si="1"/>
        <v>0</v>
      </c>
      <c r="X34" s="272">
        <f t="shared" si="2"/>
        <v>0</v>
      </c>
      <c r="Y34" s="489">
        <f t="shared" si="3"/>
        <v>0</v>
      </c>
    </row>
    <row r="35" spans="2:25">
      <c r="B35" s="100" t="s">
        <v>64</v>
      </c>
      <c r="C35" s="12"/>
      <c r="D35" s="3"/>
      <c r="E35" s="77"/>
      <c r="F35" s="62"/>
      <c r="G35" s="62"/>
      <c r="H35" s="84" t="s">
        <v>382</v>
      </c>
      <c r="I35" s="3"/>
      <c r="J35" s="60">
        <f t="shared" si="4"/>
        <v>0</v>
      </c>
      <c r="K35" s="60">
        <f t="shared" si="5"/>
        <v>0</v>
      </c>
      <c r="L35" s="61">
        <f>K35*係数!$H$30</f>
        <v>0</v>
      </c>
      <c r="M35" s="61">
        <f>K35*係数!$C$30*0.0000258</f>
        <v>0</v>
      </c>
      <c r="N35" s="12"/>
      <c r="O35" s="3"/>
      <c r="P35" s="3"/>
      <c r="Q35" s="84" t="s">
        <v>382</v>
      </c>
      <c r="R35" s="3"/>
      <c r="S35" s="488">
        <f t="shared" si="6"/>
        <v>0</v>
      </c>
      <c r="T35" s="8">
        <f t="shared" si="7"/>
        <v>0</v>
      </c>
      <c r="U35" s="61">
        <f>T35*係数!$H$30</f>
        <v>0</v>
      </c>
      <c r="V35" s="61">
        <f>T35*係数!$C$30*0.0000258</f>
        <v>0</v>
      </c>
      <c r="W35" s="8">
        <f t="shared" si="1"/>
        <v>0</v>
      </c>
      <c r="X35" s="272">
        <f t="shared" si="2"/>
        <v>0</v>
      </c>
      <c r="Y35" s="489">
        <f t="shared" si="3"/>
        <v>0</v>
      </c>
    </row>
    <row r="36" spans="2:25">
      <c r="B36" s="100" t="s">
        <v>65</v>
      </c>
      <c r="C36" s="12"/>
      <c r="D36" s="3"/>
      <c r="E36" s="77"/>
      <c r="F36" s="62"/>
      <c r="G36" s="62"/>
      <c r="H36" s="84" t="s">
        <v>382</v>
      </c>
      <c r="I36" s="3"/>
      <c r="J36" s="60">
        <f t="shared" si="4"/>
        <v>0</v>
      </c>
      <c r="K36" s="60">
        <f t="shared" si="5"/>
        <v>0</v>
      </c>
      <c r="L36" s="61">
        <f>K36*係数!$H$30</f>
        <v>0</v>
      </c>
      <c r="M36" s="61">
        <f>K36*係数!$C$30*0.0000258</f>
        <v>0</v>
      </c>
      <c r="N36" s="12"/>
      <c r="O36" s="3"/>
      <c r="P36" s="3"/>
      <c r="Q36" s="84" t="s">
        <v>382</v>
      </c>
      <c r="R36" s="3"/>
      <c r="S36" s="488">
        <f t="shared" si="6"/>
        <v>0</v>
      </c>
      <c r="T36" s="8">
        <f t="shared" si="7"/>
        <v>0</v>
      </c>
      <c r="U36" s="61">
        <f>T36*係数!$H$30</f>
        <v>0</v>
      </c>
      <c r="V36" s="61">
        <f>T36*係数!$C$30*0.0000258</f>
        <v>0</v>
      </c>
      <c r="W36" s="8">
        <f t="shared" si="1"/>
        <v>0</v>
      </c>
      <c r="X36" s="272">
        <f t="shared" si="2"/>
        <v>0</v>
      </c>
      <c r="Y36" s="489">
        <f t="shared" si="3"/>
        <v>0</v>
      </c>
    </row>
    <row r="37" spans="2:25">
      <c r="B37" s="100" t="s">
        <v>66</v>
      </c>
      <c r="C37" s="12"/>
      <c r="D37" s="3"/>
      <c r="E37" s="77"/>
      <c r="F37" s="62"/>
      <c r="G37" s="62"/>
      <c r="H37" s="84" t="s">
        <v>382</v>
      </c>
      <c r="I37" s="3"/>
      <c r="J37" s="60">
        <f t="shared" si="4"/>
        <v>0</v>
      </c>
      <c r="K37" s="60">
        <f t="shared" si="5"/>
        <v>0</v>
      </c>
      <c r="L37" s="61">
        <f>K37*係数!$H$30</f>
        <v>0</v>
      </c>
      <c r="M37" s="61">
        <f>K37*係数!$C$30*0.0000258</f>
        <v>0</v>
      </c>
      <c r="N37" s="12"/>
      <c r="O37" s="3"/>
      <c r="P37" s="3"/>
      <c r="Q37" s="84" t="s">
        <v>382</v>
      </c>
      <c r="R37" s="3"/>
      <c r="S37" s="488">
        <f t="shared" si="6"/>
        <v>0</v>
      </c>
      <c r="T37" s="8">
        <f t="shared" si="7"/>
        <v>0</v>
      </c>
      <c r="U37" s="61">
        <f>T37*係数!$H$30</f>
        <v>0</v>
      </c>
      <c r="V37" s="61">
        <f>T37*係数!$C$30*0.0000258</f>
        <v>0</v>
      </c>
      <c r="W37" s="8">
        <f t="shared" si="1"/>
        <v>0</v>
      </c>
      <c r="X37" s="272">
        <f t="shared" si="2"/>
        <v>0</v>
      </c>
      <c r="Y37" s="489">
        <f t="shared" si="3"/>
        <v>0</v>
      </c>
    </row>
    <row r="38" spans="2:25">
      <c r="B38" s="100" t="s">
        <v>67</v>
      </c>
      <c r="C38" s="12"/>
      <c r="D38" s="3"/>
      <c r="E38" s="77"/>
      <c r="F38" s="62"/>
      <c r="G38" s="62"/>
      <c r="H38" s="84" t="s">
        <v>382</v>
      </c>
      <c r="I38" s="3"/>
      <c r="J38" s="60">
        <f t="shared" si="4"/>
        <v>0</v>
      </c>
      <c r="K38" s="60">
        <f t="shared" si="5"/>
        <v>0</v>
      </c>
      <c r="L38" s="61">
        <f>K38*係数!$H$30</f>
        <v>0</v>
      </c>
      <c r="M38" s="61">
        <f>K38*係数!$C$30*0.0000258</f>
        <v>0</v>
      </c>
      <c r="N38" s="12"/>
      <c r="O38" s="3"/>
      <c r="P38" s="3"/>
      <c r="Q38" s="84" t="s">
        <v>382</v>
      </c>
      <c r="R38" s="3"/>
      <c r="S38" s="488">
        <f t="shared" si="6"/>
        <v>0</v>
      </c>
      <c r="T38" s="8">
        <f t="shared" si="7"/>
        <v>0</v>
      </c>
      <c r="U38" s="61">
        <f>T38*係数!$H$30</f>
        <v>0</v>
      </c>
      <c r="V38" s="61">
        <f>T38*係数!$C$30*0.0000258</f>
        <v>0</v>
      </c>
      <c r="W38" s="8">
        <f t="shared" si="1"/>
        <v>0</v>
      </c>
      <c r="X38" s="272">
        <f t="shared" si="2"/>
        <v>0</v>
      </c>
      <c r="Y38" s="489">
        <f t="shared" si="3"/>
        <v>0</v>
      </c>
    </row>
    <row r="39" spans="2:25">
      <c r="B39" s="100" t="s">
        <v>68</v>
      </c>
      <c r="C39" s="12"/>
      <c r="D39" s="3"/>
      <c r="E39" s="77"/>
      <c r="F39" s="62"/>
      <c r="G39" s="62"/>
      <c r="H39" s="84" t="s">
        <v>382</v>
      </c>
      <c r="I39" s="3"/>
      <c r="J39" s="60">
        <f t="shared" si="4"/>
        <v>0</v>
      </c>
      <c r="K39" s="60">
        <f t="shared" si="5"/>
        <v>0</v>
      </c>
      <c r="L39" s="61">
        <f>K39*係数!$H$30</f>
        <v>0</v>
      </c>
      <c r="M39" s="61">
        <f>K39*係数!$C$30*0.0000258</f>
        <v>0</v>
      </c>
      <c r="N39" s="12"/>
      <c r="O39" s="3"/>
      <c r="P39" s="3"/>
      <c r="Q39" s="84" t="s">
        <v>382</v>
      </c>
      <c r="R39" s="3"/>
      <c r="S39" s="488">
        <f t="shared" si="6"/>
        <v>0</v>
      </c>
      <c r="T39" s="8">
        <f t="shared" si="7"/>
        <v>0</v>
      </c>
      <c r="U39" s="61">
        <f>T39*係数!$H$30</f>
        <v>0</v>
      </c>
      <c r="V39" s="61">
        <f>T39*係数!$C$30*0.0000258</f>
        <v>0</v>
      </c>
      <c r="W39" s="8">
        <f t="shared" si="1"/>
        <v>0</v>
      </c>
      <c r="X39" s="272">
        <f t="shared" si="2"/>
        <v>0</v>
      </c>
      <c r="Y39" s="489">
        <f t="shared" si="3"/>
        <v>0</v>
      </c>
    </row>
    <row r="40" spans="2:25">
      <c r="B40" s="100" t="s">
        <v>69</v>
      </c>
      <c r="C40" s="12"/>
      <c r="D40" s="3"/>
      <c r="E40" s="77"/>
      <c r="F40" s="62"/>
      <c r="G40" s="62"/>
      <c r="H40" s="84" t="s">
        <v>382</v>
      </c>
      <c r="I40" s="3"/>
      <c r="J40" s="60">
        <f t="shared" si="4"/>
        <v>0</v>
      </c>
      <c r="K40" s="60">
        <f t="shared" si="5"/>
        <v>0</v>
      </c>
      <c r="L40" s="61">
        <f>K40*係数!$H$30</f>
        <v>0</v>
      </c>
      <c r="M40" s="61">
        <f>K40*係数!$C$30*0.0000258</f>
        <v>0</v>
      </c>
      <c r="N40" s="12"/>
      <c r="O40" s="3"/>
      <c r="P40" s="3"/>
      <c r="Q40" s="84" t="s">
        <v>382</v>
      </c>
      <c r="R40" s="3"/>
      <c r="S40" s="488">
        <f t="shared" si="6"/>
        <v>0</v>
      </c>
      <c r="T40" s="8">
        <f t="shared" si="7"/>
        <v>0</v>
      </c>
      <c r="U40" s="61">
        <f>T40*係数!$H$30</f>
        <v>0</v>
      </c>
      <c r="V40" s="61">
        <f>T40*係数!$C$30*0.0000258</f>
        <v>0</v>
      </c>
      <c r="W40" s="8">
        <f t="shared" si="1"/>
        <v>0</v>
      </c>
      <c r="X40" s="272">
        <f t="shared" si="2"/>
        <v>0</v>
      </c>
      <c r="Y40" s="489">
        <f t="shared" si="3"/>
        <v>0</v>
      </c>
    </row>
    <row r="41" spans="2:25">
      <c r="B41" s="100" t="s">
        <v>70</v>
      </c>
      <c r="C41" s="12"/>
      <c r="D41" s="3"/>
      <c r="E41" s="77"/>
      <c r="F41" s="62"/>
      <c r="G41" s="62"/>
      <c r="H41" s="84" t="s">
        <v>382</v>
      </c>
      <c r="I41" s="3"/>
      <c r="J41" s="60">
        <f t="shared" si="4"/>
        <v>0</v>
      </c>
      <c r="K41" s="60">
        <f t="shared" si="5"/>
        <v>0</v>
      </c>
      <c r="L41" s="61">
        <f>K41*係数!$H$30</f>
        <v>0</v>
      </c>
      <c r="M41" s="61">
        <f>K41*係数!$C$30*0.0000258</f>
        <v>0</v>
      </c>
      <c r="N41" s="12"/>
      <c r="O41" s="3"/>
      <c r="P41" s="3"/>
      <c r="Q41" s="84" t="s">
        <v>382</v>
      </c>
      <c r="R41" s="3"/>
      <c r="S41" s="488">
        <f t="shared" si="6"/>
        <v>0</v>
      </c>
      <c r="T41" s="8">
        <f t="shared" si="7"/>
        <v>0</v>
      </c>
      <c r="U41" s="61">
        <f>T41*係数!$H$30</f>
        <v>0</v>
      </c>
      <c r="V41" s="61">
        <f>T41*係数!$C$30*0.0000258</f>
        <v>0</v>
      </c>
      <c r="W41" s="8">
        <f t="shared" si="1"/>
        <v>0</v>
      </c>
      <c r="X41" s="272">
        <f t="shared" si="2"/>
        <v>0</v>
      </c>
      <c r="Y41" s="489">
        <f t="shared" si="3"/>
        <v>0</v>
      </c>
    </row>
    <row r="42" spans="2:25">
      <c r="B42" s="100" t="s">
        <v>71</v>
      </c>
      <c r="C42" s="12"/>
      <c r="D42" s="3"/>
      <c r="E42" s="77"/>
      <c r="F42" s="62"/>
      <c r="G42" s="62"/>
      <c r="H42" s="84" t="s">
        <v>382</v>
      </c>
      <c r="I42" s="3"/>
      <c r="J42" s="60">
        <f t="shared" si="4"/>
        <v>0</v>
      </c>
      <c r="K42" s="60">
        <f t="shared" si="5"/>
        <v>0</v>
      </c>
      <c r="L42" s="61">
        <f>K42*係数!$H$30</f>
        <v>0</v>
      </c>
      <c r="M42" s="61">
        <f>K42*係数!$C$30*0.0000258</f>
        <v>0</v>
      </c>
      <c r="N42" s="12"/>
      <c r="O42" s="3"/>
      <c r="P42" s="3"/>
      <c r="Q42" s="84" t="s">
        <v>382</v>
      </c>
      <c r="R42" s="3"/>
      <c r="S42" s="488">
        <f t="shared" si="6"/>
        <v>0</v>
      </c>
      <c r="T42" s="8">
        <f t="shared" si="7"/>
        <v>0</v>
      </c>
      <c r="U42" s="61">
        <f>T42*係数!$H$30</f>
        <v>0</v>
      </c>
      <c r="V42" s="61">
        <f>T42*係数!$C$30*0.0000258</f>
        <v>0</v>
      </c>
      <c r="W42" s="8">
        <f t="shared" si="1"/>
        <v>0</v>
      </c>
      <c r="X42" s="272">
        <f t="shared" si="2"/>
        <v>0</v>
      </c>
      <c r="Y42" s="489">
        <f t="shared" si="3"/>
        <v>0</v>
      </c>
    </row>
    <row r="43" spans="2:25">
      <c r="B43" s="100" t="s">
        <v>72</v>
      </c>
      <c r="C43" s="12"/>
      <c r="D43" s="3"/>
      <c r="E43" s="77"/>
      <c r="F43" s="62"/>
      <c r="G43" s="62"/>
      <c r="H43" s="84" t="s">
        <v>382</v>
      </c>
      <c r="I43" s="3"/>
      <c r="J43" s="60">
        <f t="shared" si="4"/>
        <v>0</v>
      </c>
      <c r="K43" s="60">
        <f t="shared" si="5"/>
        <v>0</v>
      </c>
      <c r="L43" s="61">
        <f>K43*係数!$H$30</f>
        <v>0</v>
      </c>
      <c r="M43" s="61">
        <f>K43*係数!$C$30*0.0000258</f>
        <v>0</v>
      </c>
      <c r="N43" s="12"/>
      <c r="O43" s="3"/>
      <c r="P43" s="3"/>
      <c r="Q43" s="84" t="s">
        <v>382</v>
      </c>
      <c r="R43" s="3"/>
      <c r="S43" s="488">
        <f t="shared" si="6"/>
        <v>0</v>
      </c>
      <c r="T43" s="8">
        <f t="shared" si="7"/>
        <v>0</v>
      </c>
      <c r="U43" s="61">
        <f>T43*係数!$H$30</f>
        <v>0</v>
      </c>
      <c r="V43" s="61">
        <f>T43*係数!$C$30*0.0000258</f>
        <v>0</v>
      </c>
      <c r="W43" s="8">
        <f t="shared" si="1"/>
        <v>0</v>
      </c>
      <c r="X43" s="272">
        <f t="shared" si="2"/>
        <v>0</v>
      </c>
      <c r="Y43" s="489">
        <f t="shared" si="3"/>
        <v>0</v>
      </c>
    </row>
    <row r="44" spans="2:25">
      <c r="B44" s="100" t="s">
        <v>73</v>
      </c>
      <c r="C44" s="12"/>
      <c r="D44" s="3"/>
      <c r="E44" s="77"/>
      <c r="F44" s="62"/>
      <c r="G44" s="62"/>
      <c r="H44" s="84" t="s">
        <v>382</v>
      </c>
      <c r="I44" s="3"/>
      <c r="J44" s="60">
        <f t="shared" si="4"/>
        <v>0</v>
      </c>
      <c r="K44" s="60">
        <f t="shared" si="5"/>
        <v>0</v>
      </c>
      <c r="L44" s="61">
        <f>K44*係数!$H$30</f>
        <v>0</v>
      </c>
      <c r="M44" s="61">
        <f>K44*係数!$C$30*0.0000258</f>
        <v>0</v>
      </c>
      <c r="N44" s="12"/>
      <c r="O44" s="3"/>
      <c r="P44" s="3"/>
      <c r="Q44" s="84" t="s">
        <v>382</v>
      </c>
      <c r="R44" s="3"/>
      <c r="S44" s="488">
        <f t="shared" si="6"/>
        <v>0</v>
      </c>
      <c r="T44" s="8">
        <f t="shared" si="7"/>
        <v>0</v>
      </c>
      <c r="U44" s="61">
        <f>T44*係数!$H$30</f>
        <v>0</v>
      </c>
      <c r="V44" s="61">
        <f>T44*係数!$C$30*0.0000258</f>
        <v>0</v>
      </c>
      <c r="W44" s="8">
        <f t="shared" si="1"/>
        <v>0</v>
      </c>
      <c r="X44" s="272">
        <f t="shared" si="2"/>
        <v>0</v>
      </c>
      <c r="Y44" s="489">
        <f t="shared" si="3"/>
        <v>0</v>
      </c>
    </row>
    <row r="45" spans="2:25">
      <c r="B45" s="100" t="s">
        <v>74</v>
      </c>
      <c r="C45" s="12"/>
      <c r="D45" s="3"/>
      <c r="E45" s="77"/>
      <c r="F45" s="62"/>
      <c r="G45" s="62"/>
      <c r="H45" s="84" t="s">
        <v>382</v>
      </c>
      <c r="I45" s="3"/>
      <c r="J45" s="60">
        <f t="shared" si="4"/>
        <v>0</v>
      </c>
      <c r="K45" s="60">
        <f t="shared" si="5"/>
        <v>0</v>
      </c>
      <c r="L45" s="61">
        <f>K45*係数!$H$30</f>
        <v>0</v>
      </c>
      <c r="M45" s="61">
        <f>K45*係数!$C$30*0.0000258</f>
        <v>0</v>
      </c>
      <c r="N45" s="12"/>
      <c r="O45" s="3"/>
      <c r="P45" s="3"/>
      <c r="Q45" s="84" t="s">
        <v>382</v>
      </c>
      <c r="R45" s="3"/>
      <c r="S45" s="488">
        <f t="shared" si="6"/>
        <v>0</v>
      </c>
      <c r="T45" s="8">
        <f t="shared" si="7"/>
        <v>0</v>
      </c>
      <c r="U45" s="61">
        <f>T45*係数!$H$30</f>
        <v>0</v>
      </c>
      <c r="V45" s="61">
        <f>T45*係数!$C$30*0.0000258</f>
        <v>0</v>
      </c>
      <c r="W45" s="8">
        <f t="shared" si="1"/>
        <v>0</v>
      </c>
      <c r="X45" s="272">
        <f t="shared" si="2"/>
        <v>0</v>
      </c>
      <c r="Y45" s="489">
        <f t="shared" si="3"/>
        <v>0</v>
      </c>
    </row>
    <row r="46" spans="2:25">
      <c r="B46" s="100" t="s">
        <v>75</v>
      </c>
      <c r="C46" s="12"/>
      <c r="D46" s="3"/>
      <c r="E46" s="77"/>
      <c r="F46" s="62"/>
      <c r="G46" s="62"/>
      <c r="H46" s="84" t="s">
        <v>382</v>
      </c>
      <c r="I46" s="3"/>
      <c r="J46" s="60">
        <f t="shared" si="4"/>
        <v>0</v>
      </c>
      <c r="K46" s="60">
        <f t="shared" si="5"/>
        <v>0</v>
      </c>
      <c r="L46" s="61">
        <f>K46*係数!$H$30</f>
        <v>0</v>
      </c>
      <c r="M46" s="61">
        <f>K46*係数!$C$30*0.0000258</f>
        <v>0</v>
      </c>
      <c r="N46" s="12"/>
      <c r="O46" s="3"/>
      <c r="P46" s="3"/>
      <c r="Q46" s="84" t="s">
        <v>382</v>
      </c>
      <c r="R46" s="3"/>
      <c r="S46" s="488">
        <f t="shared" si="6"/>
        <v>0</v>
      </c>
      <c r="T46" s="8">
        <f t="shared" si="7"/>
        <v>0</v>
      </c>
      <c r="U46" s="61">
        <f>T46*係数!$H$30</f>
        <v>0</v>
      </c>
      <c r="V46" s="61">
        <f>T46*係数!$C$30*0.0000258</f>
        <v>0</v>
      </c>
      <c r="W46" s="8">
        <f t="shared" si="1"/>
        <v>0</v>
      </c>
      <c r="X46" s="272">
        <f t="shared" si="2"/>
        <v>0</v>
      </c>
      <c r="Y46" s="489">
        <f t="shared" si="3"/>
        <v>0</v>
      </c>
    </row>
    <row r="47" spans="2:25">
      <c r="B47" s="100" t="s">
        <v>76</v>
      </c>
      <c r="C47" s="12"/>
      <c r="D47" s="3"/>
      <c r="E47" s="77"/>
      <c r="F47" s="62"/>
      <c r="G47" s="62"/>
      <c r="H47" s="84" t="s">
        <v>382</v>
      </c>
      <c r="I47" s="3"/>
      <c r="J47" s="60">
        <f t="shared" si="4"/>
        <v>0</v>
      </c>
      <c r="K47" s="60">
        <f t="shared" si="5"/>
        <v>0</v>
      </c>
      <c r="L47" s="61">
        <f>K47*係数!$H$30</f>
        <v>0</v>
      </c>
      <c r="M47" s="61">
        <f>K47*係数!$C$30*0.0000258</f>
        <v>0</v>
      </c>
      <c r="N47" s="12"/>
      <c r="O47" s="3"/>
      <c r="P47" s="3"/>
      <c r="Q47" s="84" t="s">
        <v>382</v>
      </c>
      <c r="R47" s="3"/>
      <c r="S47" s="488">
        <f t="shared" si="6"/>
        <v>0</v>
      </c>
      <c r="T47" s="8">
        <f t="shared" si="7"/>
        <v>0</v>
      </c>
      <c r="U47" s="61">
        <f>T47*係数!$H$30</f>
        <v>0</v>
      </c>
      <c r="V47" s="61">
        <f>T47*係数!$C$30*0.0000258</f>
        <v>0</v>
      </c>
      <c r="W47" s="8">
        <f t="shared" si="1"/>
        <v>0</v>
      </c>
      <c r="X47" s="272">
        <f t="shared" si="2"/>
        <v>0</v>
      </c>
      <c r="Y47" s="489">
        <f t="shared" si="3"/>
        <v>0</v>
      </c>
    </row>
    <row r="48" spans="2:25">
      <c r="B48" s="100" t="s">
        <v>77</v>
      </c>
      <c r="C48" s="12"/>
      <c r="D48" s="3"/>
      <c r="E48" s="77"/>
      <c r="F48" s="62"/>
      <c r="G48" s="62"/>
      <c r="H48" s="84" t="s">
        <v>382</v>
      </c>
      <c r="I48" s="3"/>
      <c r="J48" s="60">
        <f t="shared" si="4"/>
        <v>0</v>
      </c>
      <c r="K48" s="60">
        <f t="shared" si="5"/>
        <v>0</v>
      </c>
      <c r="L48" s="61">
        <f>K48*係数!$H$30</f>
        <v>0</v>
      </c>
      <c r="M48" s="61">
        <f>K48*係数!$C$30*0.0000258</f>
        <v>0</v>
      </c>
      <c r="N48" s="12"/>
      <c r="O48" s="3"/>
      <c r="P48" s="3"/>
      <c r="Q48" s="84" t="s">
        <v>382</v>
      </c>
      <c r="R48" s="3"/>
      <c r="S48" s="488">
        <f t="shared" si="6"/>
        <v>0</v>
      </c>
      <c r="T48" s="8">
        <f t="shared" si="7"/>
        <v>0</v>
      </c>
      <c r="U48" s="61">
        <f>T48*係数!$H$30</f>
        <v>0</v>
      </c>
      <c r="V48" s="61">
        <f>T48*係数!$C$30*0.0000258</f>
        <v>0</v>
      </c>
      <c r="W48" s="8">
        <f t="shared" si="1"/>
        <v>0</v>
      </c>
      <c r="X48" s="272">
        <f t="shared" si="2"/>
        <v>0</v>
      </c>
      <c r="Y48" s="489">
        <f t="shared" si="3"/>
        <v>0</v>
      </c>
    </row>
    <row r="49" spans="2:25">
      <c r="B49" s="100" t="s">
        <v>78</v>
      </c>
      <c r="C49" s="12"/>
      <c r="D49" s="3"/>
      <c r="E49" s="77"/>
      <c r="F49" s="62"/>
      <c r="G49" s="62"/>
      <c r="H49" s="84" t="s">
        <v>382</v>
      </c>
      <c r="I49" s="3"/>
      <c r="J49" s="60">
        <f t="shared" si="4"/>
        <v>0</v>
      </c>
      <c r="K49" s="60">
        <f t="shared" si="5"/>
        <v>0</v>
      </c>
      <c r="L49" s="61">
        <f>K49*係数!$H$30</f>
        <v>0</v>
      </c>
      <c r="M49" s="61">
        <f>K49*係数!$C$30*0.0000258</f>
        <v>0</v>
      </c>
      <c r="N49" s="12"/>
      <c r="O49" s="3"/>
      <c r="P49" s="3"/>
      <c r="Q49" s="84" t="s">
        <v>382</v>
      </c>
      <c r="R49" s="3"/>
      <c r="S49" s="488">
        <f t="shared" si="6"/>
        <v>0</v>
      </c>
      <c r="T49" s="8">
        <f t="shared" si="7"/>
        <v>0</v>
      </c>
      <c r="U49" s="61">
        <f>T49*係数!$H$30</f>
        <v>0</v>
      </c>
      <c r="V49" s="61">
        <f>T49*係数!$C$30*0.0000258</f>
        <v>0</v>
      </c>
      <c r="W49" s="8">
        <f t="shared" si="1"/>
        <v>0</v>
      </c>
      <c r="X49" s="272">
        <f t="shared" si="2"/>
        <v>0</v>
      </c>
      <c r="Y49" s="489">
        <f t="shared" si="3"/>
        <v>0</v>
      </c>
    </row>
    <row r="50" spans="2:25">
      <c r="B50" s="100" t="s">
        <v>79</v>
      </c>
      <c r="C50" s="12"/>
      <c r="D50" s="3"/>
      <c r="E50" s="77"/>
      <c r="F50" s="62"/>
      <c r="G50" s="62"/>
      <c r="H50" s="84" t="s">
        <v>382</v>
      </c>
      <c r="I50" s="3"/>
      <c r="J50" s="60">
        <f t="shared" si="4"/>
        <v>0</v>
      </c>
      <c r="K50" s="60">
        <f t="shared" si="5"/>
        <v>0</v>
      </c>
      <c r="L50" s="61">
        <f>K50*係数!$H$30</f>
        <v>0</v>
      </c>
      <c r="M50" s="61">
        <f>K50*係数!$C$30*0.0000258</f>
        <v>0</v>
      </c>
      <c r="N50" s="12"/>
      <c r="O50" s="3"/>
      <c r="P50" s="3"/>
      <c r="Q50" s="84" t="s">
        <v>382</v>
      </c>
      <c r="R50" s="3"/>
      <c r="S50" s="488">
        <f t="shared" si="6"/>
        <v>0</v>
      </c>
      <c r="T50" s="8">
        <f t="shared" si="7"/>
        <v>0</v>
      </c>
      <c r="U50" s="61">
        <f>T50*係数!$H$30</f>
        <v>0</v>
      </c>
      <c r="V50" s="61">
        <f>T50*係数!$C$30*0.0000258</f>
        <v>0</v>
      </c>
      <c r="W50" s="8">
        <f t="shared" si="1"/>
        <v>0</v>
      </c>
      <c r="X50" s="272">
        <f t="shared" si="2"/>
        <v>0</v>
      </c>
      <c r="Y50" s="489">
        <f t="shared" si="3"/>
        <v>0</v>
      </c>
    </row>
    <row r="51" spans="2:25">
      <c r="B51" s="100" t="s">
        <v>80</v>
      </c>
      <c r="C51" s="12"/>
      <c r="D51" s="3"/>
      <c r="E51" s="77"/>
      <c r="F51" s="62"/>
      <c r="G51" s="62"/>
      <c r="H51" s="84" t="s">
        <v>382</v>
      </c>
      <c r="I51" s="3"/>
      <c r="J51" s="60">
        <f t="shared" si="4"/>
        <v>0</v>
      </c>
      <c r="K51" s="60">
        <f t="shared" si="5"/>
        <v>0</v>
      </c>
      <c r="L51" s="61">
        <f>K51*係数!$H$30</f>
        <v>0</v>
      </c>
      <c r="M51" s="61">
        <f>K51*係数!$C$30*0.0000258</f>
        <v>0</v>
      </c>
      <c r="N51" s="12"/>
      <c r="O51" s="3"/>
      <c r="P51" s="3"/>
      <c r="Q51" s="84" t="s">
        <v>382</v>
      </c>
      <c r="R51" s="3"/>
      <c r="S51" s="488">
        <f t="shared" si="6"/>
        <v>0</v>
      </c>
      <c r="T51" s="8">
        <f t="shared" si="7"/>
        <v>0</v>
      </c>
      <c r="U51" s="61">
        <f>T51*係数!$H$30</f>
        <v>0</v>
      </c>
      <c r="V51" s="61">
        <f>T51*係数!$C$30*0.0000258</f>
        <v>0</v>
      </c>
      <c r="W51" s="8">
        <f t="shared" si="1"/>
        <v>0</v>
      </c>
      <c r="X51" s="272">
        <f t="shared" si="2"/>
        <v>0</v>
      </c>
      <c r="Y51" s="489">
        <f t="shared" si="3"/>
        <v>0</v>
      </c>
    </row>
    <row r="52" spans="2:25">
      <c r="B52" s="100" t="s">
        <v>81</v>
      </c>
      <c r="C52" s="12"/>
      <c r="D52" s="3"/>
      <c r="E52" s="77"/>
      <c r="F52" s="62"/>
      <c r="G52" s="62"/>
      <c r="H52" s="84" t="s">
        <v>382</v>
      </c>
      <c r="I52" s="3"/>
      <c r="J52" s="60">
        <f t="shared" si="4"/>
        <v>0</v>
      </c>
      <c r="K52" s="60">
        <f t="shared" si="5"/>
        <v>0</v>
      </c>
      <c r="L52" s="61">
        <f>K52*係数!$H$30</f>
        <v>0</v>
      </c>
      <c r="M52" s="61">
        <f>K52*係数!$C$30*0.0000258</f>
        <v>0</v>
      </c>
      <c r="N52" s="12"/>
      <c r="O52" s="3"/>
      <c r="P52" s="3"/>
      <c r="Q52" s="84" t="s">
        <v>382</v>
      </c>
      <c r="R52" s="3"/>
      <c r="S52" s="488">
        <f t="shared" si="6"/>
        <v>0</v>
      </c>
      <c r="T52" s="8">
        <f t="shared" si="7"/>
        <v>0</v>
      </c>
      <c r="U52" s="61">
        <f>T52*係数!$H$30</f>
        <v>0</v>
      </c>
      <c r="V52" s="61">
        <f>T52*係数!$C$30*0.0000258</f>
        <v>0</v>
      </c>
      <c r="W52" s="8">
        <f t="shared" si="1"/>
        <v>0</v>
      </c>
      <c r="X52" s="272">
        <f t="shared" si="2"/>
        <v>0</v>
      </c>
      <c r="Y52" s="489">
        <f t="shared" si="3"/>
        <v>0</v>
      </c>
    </row>
    <row r="53" spans="2:25">
      <c r="B53" s="100" t="s">
        <v>82</v>
      </c>
      <c r="C53" s="12"/>
      <c r="D53" s="3"/>
      <c r="E53" s="77"/>
      <c r="F53" s="62"/>
      <c r="G53" s="62"/>
      <c r="H53" s="84" t="s">
        <v>382</v>
      </c>
      <c r="I53" s="3"/>
      <c r="J53" s="60">
        <f t="shared" si="4"/>
        <v>0</v>
      </c>
      <c r="K53" s="60">
        <f t="shared" si="5"/>
        <v>0</v>
      </c>
      <c r="L53" s="61">
        <f>K53*係数!$H$30</f>
        <v>0</v>
      </c>
      <c r="M53" s="61">
        <f>K53*係数!$C$30*0.0000258</f>
        <v>0</v>
      </c>
      <c r="N53" s="12"/>
      <c r="O53" s="3"/>
      <c r="P53" s="3"/>
      <c r="Q53" s="84" t="s">
        <v>382</v>
      </c>
      <c r="R53" s="3"/>
      <c r="S53" s="488">
        <f t="shared" si="6"/>
        <v>0</v>
      </c>
      <c r="T53" s="8">
        <f t="shared" si="7"/>
        <v>0</v>
      </c>
      <c r="U53" s="61">
        <f>T53*係数!$H$30</f>
        <v>0</v>
      </c>
      <c r="V53" s="61">
        <f>T53*係数!$C$30*0.0000258</f>
        <v>0</v>
      </c>
      <c r="W53" s="8">
        <f t="shared" si="1"/>
        <v>0</v>
      </c>
      <c r="X53" s="272">
        <f t="shared" si="2"/>
        <v>0</v>
      </c>
      <c r="Y53" s="489">
        <f t="shared" si="3"/>
        <v>0</v>
      </c>
    </row>
    <row r="54" spans="2:25">
      <c r="B54" s="100" t="s">
        <v>83</v>
      </c>
      <c r="C54" s="12"/>
      <c r="D54" s="3"/>
      <c r="E54" s="77"/>
      <c r="F54" s="62"/>
      <c r="G54" s="62"/>
      <c r="H54" s="84" t="s">
        <v>382</v>
      </c>
      <c r="I54" s="3"/>
      <c r="J54" s="60">
        <f t="shared" si="4"/>
        <v>0</v>
      </c>
      <c r="K54" s="60">
        <f t="shared" si="5"/>
        <v>0</v>
      </c>
      <c r="L54" s="61">
        <f>K54*係数!$H$30</f>
        <v>0</v>
      </c>
      <c r="M54" s="61">
        <f>K54*係数!$C$30*0.0000258</f>
        <v>0</v>
      </c>
      <c r="N54" s="12"/>
      <c r="O54" s="3"/>
      <c r="P54" s="3"/>
      <c r="Q54" s="84" t="s">
        <v>382</v>
      </c>
      <c r="R54" s="3"/>
      <c r="S54" s="488">
        <f t="shared" si="6"/>
        <v>0</v>
      </c>
      <c r="T54" s="8">
        <f t="shared" si="7"/>
        <v>0</v>
      </c>
      <c r="U54" s="61">
        <f>T54*係数!$H$30</f>
        <v>0</v>
      </c>
      <c r="V54" s="61">
        <f>T54*係数!$C$30*0.0000258</f>
        <v>0</v>
      </c>
      <c r="W54" s="8">
        <f t="shared" si="1"/>
        <v>0</v>
      </c>
      <c r="X54" s="272">
        <f t="shared" si="2"/>
        <v>0</v>
      </c>
      <c r="Y54" s="489">
        <f t="shared" si="3"/>
        <v>0</v>
      </c>
    </row>
    <row r="55" spans="2:25">
      <c r="B55" s="100" t="s">
        <v>84</v>
      </c>
      <c r="C55" s="12"/>
      <c r="D55" s="3"/>
      <c r="E55" s="77"/>
      <c r="F55" s="62"/>
      <c r="G55" s="62"/>
      <c r="H55" s="84" t="s">
        <v>382</v>
      </c>
      <c r="I55" s="3"/>
      <c r="J55" s="60">
        <f t="shared" si="4"/>
        <v>0</v>
      </c>
      <c r="K55" s="60">
        <f t="shared" si="5"/>
        <v>0</v>
      </c>
      <c r="L55" s="61">
        <f>K55*係数!$H$30</f>
        <v>0</v>
      </c>
      <c r="M55" s="61">
        <f>K55*係数!$C$30*0.0000258</f>
        <v>0</v>
      </c>
      <c r="N55" s="12"/>
      <c r="O55" s="3"/>
      <c r="P55" s="3"/>
      <c r="Q55" s="84" t="s">
        <v>382</v>
      </c>
      <c r="R55" s="3"/>
      <c r="S55" s="488">
        <f t="shared" si="6"/>
        <v>0</v>
      </c>
      <c r="T55" s="8">
        <f t="shared" si="7"/>
        <v>0</v>
      </c>
      <c r="U55" s="61">
        <f>T55*係数!$H$30</f>
        <v>0</v>
      </c>
      <c r="V55" s="61">
        <f>T55*係数!$C$30*0.0000258</f>
        <v>0</v>
      </c>
      <c r="W55" s="8">
        <f t="shared" si="1"/>
        <v>0</v>
      </c>
      <c r="X55" s="272">
        <f t="shared" si="2"/>
        <v>0</v>
      </c>
      <c r="Y55" s="489">
        <f t="shared" si="3"/>
        <v>0</v>
      </c>
    </row>
    <row r="56" spans="2:25">
      <c r="B56" s="100" t="s">
        <v>85</v>
      </c>
      <c r="C56" s="12"/>
      <c r="D56" s="3"/>
      <c r="E56" s="77"/>
      <c r="F56" s="62"/>
      <c r="G56" s="62"/>
      <c r="H56" s="84" t="s">
        <v>382</v>
      </c>
      <c r="I56" s="3"/>
      <c r="J56" s="60">
        <f t="shared" si="4"/>
        <v>0</v>
      </c>
      <c r="K56" s="60">
        <f t="shared" si="5"/>
        <v>0</v>
      </c>
      <c r="L56" s="61">
        <f>K56*係数!$H$30</f>
        <v>0</v>
      </c>
      <c r="M56" s="61">
        <f>K56*係数!$C$30*0.0000258</f>
        <v>0</v>
      </c>
      <c r="N56" s="12"/>
      <c r="O56" s="3"/>
      <c r="P56" s="3"/>
      <c r="Q56" s="84" t="s">
        <v>382</v>
      </c>
      <c r="R56" s="3"/>
      <c r="S56" s="488">
        <f t="shared" si="6"/>
        <v>0</v>
      </c>
      <c r="T56" s="8">
        <f t="shared" si="7"/>
        <v>0</v>
      </c>
      <c r="U56" s="61">
        <f>T56*係数!$H$30</f>
        <v>0</v>
      </c>
      <c r="V56" s="61">
        <f>T56*係数!$C$30*0.0000258</f>
        <v>0</v>
      </c>
      <c r="W56" s="8">
        <f t="shared" si="1"/>
        <v>0</v>
      </c>
      <c r="X56" s="272">
        <f t="shared" si="2"/>
        <v>0</v>
      </c>
      <c r="Y56" s="489">
        <f t="shared" si="3"/>
        <v>0</v>
      </c>
    </row>
    <row r="57" spans="2:25">
      <c r="B57" s="100" t="s">
        <v>86</v>
      </c>
      <c r="C57" s="12"/>
      <c r="D57" s="3"/>
      <c r="E57" s="77"/>
      <c r="F57" s="62"/>
      <c r="G57" s="62"/>
      <c r="H57" s="84" t="s">
        <v>382</v>
      </c>
      <c r="I57" s="3"/>
      <c r="J57" s="60">
        <f t="shared" si="4"/>
        <v>0</v>
      </c>
      <c r="K57" s="60">
        <f t="shared" si="5"/>
        <v>0</v>
      </c>
      <c r="L57" s="61">
        <f>K57*係数!$H$30</f>
        <v>0</v>
      </c>
      <c r="M57" s="61">
        <f>K57*係数!$C$30*0.0000258</f>
        <v>0</v>
      </c>
      <c r="N57" s="12"/>
      <c r="O57" s="3"/>
      <c r="P57" s="3"/>
      <c r="Q57" s="84" t="s">
        <v>382</v>
      </c>
      <c r="R57" s="3"/>
      <c r="S57" s="488">
        <f t="shared" si="6"/>
        <v>0</v>
      </c>
      <c r="T57" s="8">
        <f t="shared" si="7"/>
        <v>0</v>
      </c>
      <c r="U57" s="61">
        <f>T57*係数!$H$30</f>
        <v>0</v>
      </c>
      <c r="V57" s="61">
        <f>T57*係数!$C$30*0.0000258</f>
        <v>0</v>
      </c>
      <c r="W57" s="8">
        <f t="shared" si="1"/>
        <v>0</v>
      </c>
      <c r="X57" s="272">
        <f t="shared" si="2"/>
        <v>0</v>
      </c>
      <c r="Y57" s="489">
        <f t="shared" si="3"/>
        <v>0</v>
      </c>
    </row>
    <row r="58" spans="2:25">
      <c r="B58" s="100" t="s">
        <v>87</v>
      </c>
      <c r="C58" s="12"/>
      <c r="D58" s="3"/>
      <c r="E58" s="77"/>
      <c r="F58" s="62"/>
      <c r="G58" s="62"/>
      <c r="H58" s="84" t="s">
        <v>382</v>
      </c>
      <c r="I58" s="3"/>
      <c r="J58" s="60">
        <f t="shared" si="4"/>
        <v>0</v>
      </c>
      <c r="K58" s="60">
        <f t="shared" si="5"/>
        <v>0</v>
      </c>
      <c r="L58" s="61">
        <f>K58*係数!$H$30</f>
        <v>0</v>
      </c>
      <c r="M58" s="61">
        <f>K58*係数!$C$30*0.0000258</f>
        <v>0</v>
      </c>
      <c r="N58" s="12"/>
      <c r="O58" s="3"/>
      <c r="P58" s="3"/>
      <c r="Q58" s="84" t="s">
        <v>382</v>
      </c>
      <c r="R58" s="3"/>
      <c r="S58" s="488">
        <f t="shared" si="6"/>
        <v>0</v>
      </c>
      <c r="T58" s="8">
        <f t="shared" si="7"/>
        <v>0</v>
      </c>
      <c r="U58" s="61">
        <f>T58*係数!$H$30</f>
        <v>0</v>
      </c>
      <c r="V58" s="61">
        <f>T58*係数!$C$30*0.0000258</f>
        <v>0</v>
      </c>
      <c r="W58" s="8">
        <f t="shared" si="1"/>
        <v>0</v>
      </c>
      <c r="X58" s="272">
        <f t="shared" si="2"/>
        <v>0</v>
      </c>
      <c r="Y58" s="489">
        <f t="shared" si="3"/>
        <v>0</v>
      </c>
    </row>
    <row r="59" spans="2:25">
      <c r="B59" s="100" t="s">
        <v>88</v>
      </c>
      <c r="C59" s="12"/>
      <c r="D59" s="3"/>
      <c r="E59" s="77"/>
      <c r="F59" s="62"/>
      <c r="G59" s="62"/>
      <c r="H59" s="84" t="s">
        <v>382</v>
      </c>
      <c r="I59" s="3"/>
      <c r="J59" s="60">
        <f t="shared" si="4"/>
        <v>0</v>
      </c>
      <c r="K59" s="60">
        <f t="shared" si="5"/>
        <v>0</v>
      </c>
      <c r="L59" s="61">
        <f>K59*係数!$H$30</f>
        <v>0</v>
      </c>
      <c r="M59" s="61">
        <f>K59*係数!$C$30*0.0000258</f>
        <v>0</v>
      </c>
      <c r="N59" s="12"/>
      <c r="O59" s="3"/>
      <c r="P59" s="3"/>
      <c r="Q59" s="84" t="s">
        <v>382</v>
      </c>
      <c r="R59" s="3"/>
      <c r="S59" s="488">
        <f t="shared" si="6"/>
        <v>0</v>
      </c>
      <c r="T59" s="8">
        <f t="shared" si="7"/>
        <v>0</v>
      </c>
      <c r="U59" s="61">
        <f>T59*係数!$H$30</f>
        <v>0</v>
      </c>
      <c r="V59" s="61">
        <f>T59*係数!$C$30*0.0000258</f>
        <v>0</v>
      </c>
      <c r="W59" s="8">
        <f t="shared" si="1"/>
        <v>0</v>
      </c>
      <c r="X59" s="272">
        <f t="shared" si="2"/>
        <v>0</v>
      </c>
      <c r="Y59" s="489">
        <f t="shared" si="3"/>
        <v>0</v>
      </c>
    </row>
    <row r="60" spans="2:25">
      <c r="B60" s="100" t="s">
        <v>89</v>
      </c>
      <c r="C60" s="12"/>
      <c r="D60" s="3"/>
      <c r="E60" s="77"/>
      <c r="F60" s="62"/>
      <c r="G60" s="62"/>
      <c r="H60" s="84" t="s">
        <v>382</v>
      </c>
      <c r="I60" s="3"/>
      <c r="J60" s="60">
        <f t="shared" si="4"/>
        <v>0</v>
      </c>
      <c r="K60" s="60">
        <f t="shared" si="5"/>
        <v>0</v>
      </c>
      <c r="L60" s="61">
        <f>K60*係数!$H$30</f>
        <v>0</v>
      </c>
      <c r="M60" s="61">
        <f>K60*係数!$C$30*0.0000258</f>
        <v>0</v>
      </c>
      <c r="N60" s="12"/>
      <c r="O60" s="3"/>
      <c r="P60" s="3"/>
      <c r="Q60" s="84" t="s">
        <v>382</v>
      </c>
      <c r="R60" s="3"/>
      <c r="S60" s="488">
        <f t="shared" si="6"/>
        <v>0</v>
      </c>
      <c r="T60" s="8">
        <f t="shared" si="7"/>
        <v>0</v>
      </c>
      <c r="U60" s="61">
        <f>T60*係数!$H$30</f>
        <v>0</v>
      </c>
      <c r="V60" s="61">
        <f>T60*係数!$C$30*0.0000258</f>
        <v>0</v>
      </c>
      <c r="W60" s="8">
        <f t="shared" si="1"/>
        <v>0</v>
      </c>
      <c r="X60" s="272">
        <f t="shared" si="2"/>
        <v>0</v>
      </c>
      <c r="Y60" s="489">
        <f t="shared" si="3"/>
        <v>0</v>
      </c>
    </row>
    <row r="61" spans="2:25">
      <c r="B61" s="100" t="s">
        <v>90</v>
      </c>
      <c r="C61" s="12"/>
      <c r="D61" s="3"/>
      <c r="E61" s="77"/>
      <c r="F61" s="62"/>
      <c r="G61" s="62"/>
      <c r="H61" s="84" t="s">
        <v>382</v>
      </c>
      <c r="I61" s="3"/>
      <c r="J61" s="60">
        <f t="shared" si="4"/>
        <v>0</v>
      </c>
      <c r="K61" s="60">
        <f t="shared" si="5"/>
        <v>0</v>
      </c>
      <c r="L61" s="61">
        <f>K61*係数!$H$30</f>
        <v>0</v>
      </c>
      <c r="M61" s="61">
        <f>K61*係数!$C$30*0.0000258</f>
        <v>0</v>
      </c>
      <c r="N61" s="12"/>
      <c r="O61" s="3"/>
      <c r="P61" s="3"/>
      <c r="Q61" s="84" t="s">
        <v>382</v>
      </c>
      <c r="R61" s="3"/>
      <c r="S61" s="488">
        <f t="shared" si="6"/>
        <v>0</v>
      </c>
      <c r="T61" s="8">
        <f t="shared" si="7"/>
        <v>0</v>
      </c>
      <c r="U61" s="61">
        <f>T61*係数!$H$30</f>
        <v>0</v>
      </c>
      <c r="V61" s="61">
        <f>T61*係数!$C$30*0.0000258</f>
        <v>0</v>
      </c>
      <c r="W61" s="8">
        <f t="shared" si="1"/>
        <v>0</v>
      </c>
      <c r="X61" s="272">
        <f t="shared" si="2"/>
        <v>0</v>
      </c>
      <c r="Y61" s="489">
        <f t="shared" si="3"/>
        <v>0</v>
      </c>
    </row>
    <row r="62" spans="2:25">
      <c r="B62" s="100" t="s">
        <v>91</v>
      </c>
      <c r="C62" s="12"/>
      <c r="D62" s="3"/>
      <c r="E62" s="77"/>
      <c r="F62" s="62"/>
      <c r="G62" s="62"/>
      <c r="H62" s="84" t="s">
        <v>382</v>
      </c>
      <c r="I62" s="3"/>
      <c r="J62" s="60">
        <f t="shared" si="4"/>
        <v>0</v>
      </c>
      <c r="K62" s="60">
        <f t="shared" si="5"/>
        <v>0</v>
      </c>
      <c r="L62" s="61">
        <f>K62*係数!$H$30</f>
        <v>0</v>
      </c>
      <c r="M62" s="61">
        <f>K62*係数!$C$30*0.0000258</f>
        <v>0</v>
      </c>
      <c r="N62" s="12"/>
      <c r="O62" s="3"/>
      <c r="P62" s="3"/>
      <c r="Q62" s="84" t="s">
        <v>382</v>
      </c>
      <c r="R62" s="3"/>
      <c r="S62" s="488">
        <f t="shared" si="6"/>
        <v>0</v>
      </c>
      <c r="T62" s="8">
        <f t="shared" si="7"/>
        <v>0</v>
      </c>
      <c r="U62" s="61">
        <f>T62*係数!$H$30</f>
        <v>0</v>
      </c>
      <c r="V62" s="61">
        <f>T62*係数!$C$30*0.0000258</f>
        <v>0</v>
      </c>
      <c r="W62" s="8">
        <f t="shared" si="1"/>
        <v>0</v>
      </c>
      <c r="X62" s="272">
        <f t="shared" si="2"/>
        <v>0</v>
      </c>
      <c r="Y62" s="489">
        <f t="shared" si="3"/>
        <v>0</v>
      </c>
    </row>
    <row r="63" spans="2:25">
      <c r="B63" s="100" t="s">
        <v>92</v>
      </c>
      <c r="C63" s="12"/>
      <c r="D63" s="3"/>
      <c r="E63" s="77"/>
      <c r="F63" s="62"/>
      <c r="G63" s="62"/>
      <c r="H63" s="84" t="s">
        <v>382</v>
      </c>
      <c r="I63" s="3"/>
      <c r="J63" s="60">
        <f t="shared" si="4"/>
        <v>0</v>
      </c>
      <c r="K63" s="60">
        <f t="shared" si="5"/>
        <v>0</v>
      </c>
      <c r="L63" s="61">
        <f>K63*係数!$H$30</f>
        <v>0</v>
      </c>
      <c r="M63" s="61">
        <f>K63*係数!$C$30*0.0000258</f>
        <v>0</v>
      </c>
      <c r="N63" s="12"/>
      <c r="O63" s="3"/>
      <c r="P63" s="3"/>
      <c r="Q63" s="84" t="s">
        <v>382</v>
      </c>
      <c r="R63" s="3"/>
      <c r="S63" s="488">
        <f t="shared" si="6"/>
        <v>0</v>
      </c>
      <c r="T63" s="8">
        <f t="shared" si="7"/>
        <v>0</v>
      </c>
      <c r="U63" s="61">
        <f>T63*係数!$H$30</f>
        <v>0</v>
      </c>
      <c r="V63" s="61">
        <f>T63*係数!$C$30*0.0000258</f>
        <v>0</v>
      </c>
      <c r="W63" s="8">
        <f t="shared" si="1"/>
        <v>0</v>
      </c>
      <c r="X63" s="272">
        <f t="shared" si="2"/>
        <v>0</v>
      </c>
      <c r="Y63" s="489">
        <f t="shared" si="3"/>
        <v>0</v>
      </c>
    </row>
    <row r="64" spans="2:25">
      <c r="B64" s="100" t="s">
        <v>93</v>
      </c>
      <c r="C64" s="12"/>
      <c r="D64" s="3"/>
      <c r="E64" s="77"/>
      <c r="F64" s="62"/>
      <c r="G64" s="62"/>
      <c r="H64" s="84" t="s">
        <v>382</v>
      </c>
      <c r="I64" s="3"/>
      <c r="J64" s="60">
        <f t="shared" si="4"/>
        <v>0</v>
      </c>
      <c r="K64" s="60">
        <f t="shared" si="5"/>
        <v>0</v>
      </c>
      <c r="L64" s="61">
        <f>K64*係数!$H$30</f>
        <v>0</v>
      </c>
      <c r="M64" s="61">
        <f>K64*係数!$C$30*0.0000258</f>
        <v>0</v>
      </c>
      <c r="N64" s="12"/>
      <c r="O64" s="3"/>
      <c r="P64" s="3"/>
      <c r="Q64" s="84" t="s">
        <v>382</v>
      </c>
      <c r="R64" s="3"/>
      <c r="S64" s="488">
        <f t="shared" si="6"/>
        <v>0</v>
      </c>
      <c r="T64" s="8">
        <f t="shared" si="7"/>
        <v>0</v>
      </c>
      <c r="U64" s="61">
        <f>T64*係数!$H$30</f>
        <v>0</v>
      </c>
      <c r="V64" s="61">
        <f>T64*係数!$C$30*0.0000258</f>
        <v>0</v>
      </c>
      <c r="W64" s="8">
        <f t="shared" si="1"/>
        <v>0</v>
      </c>
      <c r="X64" s="272">
        <f t="shared" si="2"/>
        <v>0</v>
      </c>
      <c r="Y64" s="489">
        <f t="shared" si="3"/>
        <v>0</v>
      </c>
    </row>
    <row r="65" spans="2:25">
      <c r="B65" s="100" t="s">
        <v>94</v>
      </c>
      <c r="C65" s="12"/>
      <c r="D65" s="3"/>
      <c r="E65" s="77"/>
      <c r="F65" s="62"/>
      <c r="G65" s="62"/>
      <c r="H65" s="84" t="s">
        <v>382</v>
      </c>
      <c r="I65" s="3"/>
      <c r="J65" s="60">
        <f t="shared" si="4"/>
        <v>0</v>
      </c>
      <c r="K65" s="60">
        <f t="shared" si="5"/>
        <v>0</v>
      </c>
      <c r="L65" s="61">
        <f>K65*係数!$H$30</f>
        <v>0</v>
      </c>
      <c r="M65" s="61">
        <f>K65*係数!$C$30*0.0000258</f>
        <v>0</v>
      </c>
      <c r="N65" s="12"/>
      <c r="O65" s="3"/>
      <c r="P65" s="3"/>
      <c r="Q65" s="84" t="s">
        <v>382</v>
      </c>
      <c r="R65" s="3"/>
      <c r="S65" s="488">
        <f t="shared" si="6"/>
        <v>0</v>
      </c>
      <c r="T65" s="8">
        <f t="shared" si="7"/>
        <v>0</v>
      </c>
      <c r="U65" s="61">
        <f>T65*係数!$H$30</f>
        <v>0</v>
      </c>
      <c r="V65" s="61">
        <f>T65*係数!$C$30*0.0000258</f>
        <v>0</v>
      </c>
      <c r="W65" s="8">
        <f t="shared" si="1"/>
        <v>0</v>
      </c>
      <c r="X65" s="272">
        <f t="shared" si="2"/>
        <v>0</v>
      </c>
      <c r="Y65" s="489">
        <f t="shared" si="3"/>
        <v>0</v>
      </c>
    </row>
    <row r="66" spans="2:25">
      <c r="B66" s="100" t="s">
        <v>95</v>
      </c>
      <c r="C66" s="12"/>
      <c r="D66" s="3"/>
      <c r="E66" s="77"/>
      <c r="F66" s="62"/>
      <c r="G66" s="62"/>
      <c r="H66" s="84" t="s">
        <v>382</v>
      </c>
      <c r="I66" s="3"/>
      <c r="J66" s="60">
        <f t="shared" si="4"/>
        <v>0</v>
      </c>
      <c r="K66" s="60">
        <f t="shared" si="5"/>
        <v>0</v>
      </c>
      <c r="L66" s="61">
        <f>K66*係数!$H$30</f>
        <v>0</v>
      </c>
      <c r="M66" s="61">
        <f>K66*係数!$C$30*0.0000258</f>
        <v>0</v>
      </c>
      <c r="N66" s="12"/>
      <c r="O66" s="3"/>
      <c r="P66" s="3"/>
      <c r="Q66" s="84" t="s">
        <v>382</v>
      </c>
      <c r="R66" s="3"/>
      <c r="S66" s="488">
        <f t="shared" si="6"/>
        <v>0</v>
      </c>
      <c r="T66" s="8">
        <f t="shared" si="7"/>
        <v>0</v>
      </c>
      <c r="U66" s="61">
        <f>T66*係数!$H$30</f>
        <v>0</v>
      </c>
      <c r="V66" s="61">
        <f>T66*係数!$C$30*0.0000258</f>
        <v>0</v>
      </c>
      <c r="W66" s="8">
        <f t="shared" si="1"/>
        <v>0</v>
      </c>
      <c r="X66" s="272">
        <f t="shared" si="2"/>
        <v>0</v>
      </c>
      <c r="Y66" s="489">
        <f t="shared" si="3"/>
        <v>0</v>
      </c>
    </row>
    <row r="67" spans="2:25">
      <c r="B67" s="100" t="s">
        <v>96</v>
      </c>
      <c r="C67" s="12"/>
      <c r="D67" s="3"/>
      <c r="E67" s="77"/>
      <c r="F67" s="62"/>
      <c r="G67" s="62"/>
      <c r="H67" s="84" t="s">
        <v>382</v>
      </c>
      <c r="I67" s="3"/>
      <c r="J67" s="60">
        <f t="shared" si="4"/>
        <v>0</v>
      </c>
      <c r="K67" s="60">
        <f t="shared" si="5"/>
        <v>0</v>
      </c>
      <c r="L67" s="61">
        <f>K67*係数!$H$30</f>
        <v>0</v>
      </c>
      <c r="M67" s="61">
        <f>K67*係数!$C$30*0.0000258</f>
        <v>0</v>
      </c>
      <c r="N67" s="12"/>
      <c r="O67" s="3"/>
      <c r="P67" s="3"/>
      <c r="Q67" s="84" t="s">
        <v>382</v>
      </c>
      <c r="R67" s="3"/>
      <c r="S67" s="488">
        <f t="shared" si="6"/>
        <v>0</v>
      </c>
      <c r="T67" s="8">
        <f t="shared" si="7"/>
        <v>0</v>
      </c>
      <c r="U67" s="61">
        <f>T67*係数!$H$30</f>
        <v>0</v>
      </c>
      <c r="V67" s="61">
        <f>T67*係数!$C$30*0.0000258</f>
        <v>0</v>
      </c>
      <c r="W67" s="8">
        <f t="shared" si="1"/>
        <v>0</v>
      </c>
      <c r="X67" s="272">
        <f t="shared" si="2"/>
        <v>0</v>
      </c>
      <c r="Y67" s="489">
        <f t="shared" si="3"/>
        <v>0</v>
      </c>
    </row>
    <row r="68" spans="2:25">
      <c r="B68" s="100" t="s">
        <v>97</v>
      </c>
      <c r="C68" s="12"/>
      <c r="D68" s="3"/>
      <c r="E68" s="77"/>
      <c r="F68" s="62"/>
      <c r="G68" s="62"/>
      <c r="H68" s="84" t="s">
        <v>382</v>
      </c>
      <c r="I68" s="3"/>
      <c r="J68" s="60">
        <f t="shared" si="4"/>
        <v>0</v>
      </c>
      <c r="K68" s="60">
        <f t="shared" si="5"/>
        <v>0</v>
      </c>
      <c r="L68" s="61">
        <f>K68*係数!$H$30</f>
        <v>0</v>
      </c>
      <c r="M68" s="61">
        <f>K68*係数!$C$30*0.0000258</f>
        <v>0</v>
      </c>
      <c r="N68" s="12"/>
      <c r="O68" s="3"/>
      <c r="P68" s="3"/>
      <c r="Q68" s="84" t="s">
        <v>382</v>
      </c>
      <c r="R68" s="3"/>
      <c r="S68" s="488">
        <f t="shared" si="6"/>
        <v>0</v>
      </c>
      <c r="T68" s="8">
        <f t="shared" si="7"/>
        <v>0</v>
      </c>
      <c r="U68" s="61">
        <f>T68*係数!$H$30</f>
        <v>0</v>
      </c>
      <c r="V68" s="61">
        <f>T68*係数!$C$30*0.0000258</f>
        <v>0</v>
      </c>
      <c r="W68" s="8">
        <f t="shared" si="1"/>
        <v>0</v>
      </c>
      <c r="X68" s="272">
        <f t="shared" si="2"/>
        <v>0</v>
      </c>
      <c r="Y68" s="489">
        <f t="shared" si="3"/>
        <v>0</v>
      </c>
    </row>
    <row r="69" spans="2:25">
      <c r="B69" s="100" t="s">
        <v>98</v>
      </c>
      <c r="C69" s="12"/>
      <c r="D69" s="3"/>
      <c r="E69" s="77"/>
      <c r="F69" s="62"/>
      <c r="G69" s="62"/>
      <c r="H69" s="84" t="s">
        <v>382</v>
      </c>
      <c r="I69" s="3"/>
      <c r="J69" s="60">
        <f t="shared" si="4"/>
        <v>0</v>
      </c>
      <c r="K69" s="60">
        <f t="shared" si="5"/>
        <v>0</v>
      </c>
      <c r="L69" s="61">
        <f>K69*係数!$H$30</f>
        <v>0</v>
      </c>
      <c r="M69" s="61">
        <f>K69*係数!$C$30*0.0000258</f>
        <v>0</v>
      </c>
      <c r="N69" s="12"/>
      <c r="O69" s="3"/>
      <c r="P69" s="3"/>
      <c r="Q69" s="84" t="s">
        <v>382</v>
      </c>
      <c r="R69" s="3"/>
      <c r="S69" s="488">
        <f t="shared" si="6"/>
        <v>0</v>
      </c>
      <c r="T69" s="8">
        <f t="shared" si="7"/>
        <v>0</v>
      </c>
      <c r="U69" s="61">
        <f>T69*係数!$H$30</f>
        <v>0</v>
      </c>
      <c r="V69" s="61">
        <f>T69*係数!$C$30*0.0000258</f>
        <v>0</v>
      </c>
      <c r="W69" s="8">
        <f t="shared" si="1"/>
        <v>0</v>
      </c>
      <c r="X69" s="272">
        <f t="shared" si="2"/>
        <v>0</v>
      </c>
      <c r="Y69" s="489">
        <f t="shared" si="3"/>
        <v>0</v>
      </c>
    </row>
    <row r="70" spans="2:25">
      <c r="B70" s="100" t="s">
        <v>396</v>
      </c>
      <c r="C70" s="12"/>
      <c r="D70" s="3"/>
      <c r="E70" s="77"/>
      <c r="F70" s="62"/>
      <c r="G70" s="62"/>
      <c r="H70" s="84" t="s">
        <v>382</v>
      </c>
      <c r="I70" s="3"/>
      <c r="J70" s="60">
        <f t="shared" si="4"/>
        <v>0</v>
      </c>
      <c r="K70" s="60">
        <f t="shared" si="5"/>
        <v>0</v>
      </c>
      <c r="L70" s="61">
        <f>K70*係数!$H$30</f>
        <v>0</v>
      </c>
      <c r="M70" s="61">
        <f>K70*係数!$C$30*0.0000258</f>
        <v>0</v>
      </c>
      <c r="N70" s="12"/>
      <c r="O70" s="3"/>
      <c r="P70" s="3"/>
      <c r="Q70" s="84" t="s">
        <v>382</v>
      </c>
      <c r="R70" s="3"/>
      <c r="S70" s="488">
        <f t="shared" si="6"/>
        <v>0</v>
      </c>
      <c r="T70" s="8">
        <f t="shared" si="7"/>
        <v>0</v>
      </c>
      <c r="U70" s="61">
        <f>T70*係数!$H$30</f>
        <v>0</v>
      </c>
      <c r="V70" s="61">
        <f>T70*係数!$C$30*0.0000258</f>
        <v>0</v>
      </c>
      <c r="W70" s="8">
        <f t="shared" si="1"/>
        <v>0</v>
      </c>
      <c r="X70" s="272">
        <f t="shared" si="2"/>
        <v>0</v>
      </c>
      <c r="Y70" s="489">
        <f t="shared" si="3"/>
        <v>0</v>
      </c>
    </row>
    <row r="71" spans="2:25">
      <c r="B71" s="100" t="s">
        <v>397</v>
      </c>
      <c r="C71" s="12"/>
      <c r="D71" s="3"/>
      <c r="E71" s="77"/>
      <c r="F71" s="62"/>
      <c r="G71" s="62"/>
      <c r="H71" s="84" t="s">
        <v>382</v>
      </c>
      <c r="I71" s="3"/>
      <c r="J71" s="60">
        <f t="shared" si="4"/>
        <v>0</v>
      </c>
      <c r="K71" s="60">
        <f t="shared" si="5"/>
        <v>0</v>
      </c>
      <c r="L71" s="61">
        <f>K71*係数!$H$30</f>
        <v>0</v>
      </c>
      <c r="M71" s="61">
        <f>K71*係数!$C$30*0.0000258</f>
        <v>0</v>
      </c>
      <c r="N71" s="12"/>
      <c r="O71" s="3"/>
      <c r="P71" s="3"/>
      <c r="Q71" s="84" t="s">
        <v>382</v>
      </c>
      <c r="R71" s="3"/>
      <c r="S71" s="488">
        <f t="shared" si="6"/>
        <v>0</v>
      </c>
      <c r="T71" s="8">
        <f t="shared" si="7"/>
        <v>0</v>
      </c>
      <c r="U71" s="61">
        <f>T71*係数!$H$30</f>
        <v>0</v>
      </c>
      <c r="V71" s="61">
        <f>T71*係数!$C$30*0.0000258</f>
        <v>0</v>
      </c>
      <c r="W71" s="8">
        <f t="shared" si="1"/>
        <v>0</v>
      </c>
      <c r="X71" s="272">
        <f t="shared" si="2"/>
        <v>0</v>
      </c>
      <c r="Y71" s="489">
        <f t="shared" si="3"/>
        <v>0</v>
      </c>
    </row>
    <row r="72" spans="2:25">
      <c r="B72" s="100" t="s">
        <v>398</v>
      </c>
      <c r="C72" s="12"/>
      <c r="D72" s="3"/>
      <c r="E72" s="77"/>
      <c r="F72" s="62"/>
      <c r="G72" s="62"/>
      <c r="H72" s="84" t="s">
        <v>382</v>
      </c>
      <c r="I72" s="3"/>
      <c r="J72" s="60">
        <f t="shared" si="4"/>
        <v>0</v>
      </c>
      <c r="K72" s="60">
        <f t="shared" si="5"/>
        <v>0</v>
      </c>
      <c r="L72" s="61">
        <f>K72*係数!$H$30</f>
        <v>0</v>
      </c>
      <c r="M72" s="61">
        <f>K72*係数!$C$30*0.0000258</f>
        <v>0</v>
      </c>
      <c r="N72" s="12"/>
      <c r="O72" s="3"/>
      <c r="P72" s="3"/>
      <c r="Q72" s="84" t="s">
        <v>382</v>
      </c>
      <c r="R72" s="3"/>
      <c r="S72" s="488">
        <f t="shared" si="6"/>
        <v>0</v>
      </c>
      <c r="T72" s="8">
        <f t="shared" si="7"/>
        <v>0</v>
      </c>
      <c r="U72" s="61">
        <f>T72*係数!$H$30</f>
        <v>0</v>
      </c>
      <c r="V72" s="61">
        <f>T72*係数!$C$30*0.0000258</f>
        <v>0</v>
      </c>
      <c r="W72" s="8">
        <f t="shared" si="1"/>
        <v>0</v>
      </c>
      <c r="X72" s="272">
        <f t="shared" si="2"/>
        <v>0</v>
      </c>
      <c r="Y72" s="489">
        <f t="shared" si="3"/>
        <v>0</v>
      </c>
    </row>
    <row r="73" spans="2:25">
      <c r="B73" s="100" t="s">
        <v>399</v>
      </c>
      <c r="C73" s="12"/>
      <c r="D73" s="3"/>
      <c r="E73" s="77"/>
      <c r="F73" s="62"/>
      <c r="G73" s="62"/>
      <c r="H73" s="84" t="s">
        <v>382</v>
      </c>
      <c r="I73" s="3"/>
      <c r="J73" s="60">
        <f t="shared" si="4"/>
        <v>0</v>
      </c>
      <c r="K73" s="60">
        <f t="shared" si="5"/>
        <v>0</v>
      </c>
      <c r="L73" s="61">
        <f>K73*係数!$H$30</f>
        <v>0</v>
      </c>
      <c r="M73" s="61">
        <f>K73*係数!$C$30*0.0000258</f>
        <v>0</v>
      </c>
      <c r="N73" s="12"/>
      <c r="O73" s="3"/>
      <c r="P73" s="3"/>
      <c r="Q73" s="84" t="s">
        <v>382</v>
      </c>
      <c r="R73" s="3"/>
      <c r="S73" s="488">
        <f t="shared" si="6"/>
        <v>0</v>
      </c>
      <c r="T73" s="8">
        <f t="shared" si="7"/>
        <v>0</v>
      </c>
      <c r="U73" s="61">
        <f>T73*係数!$H$30</f>
        <v>0</v>
      </c>
      <c r="V73" s="61">
        <f>T73*係数!$C$30*0.0000258</f>
        <v>0</v>
      </c>
      <c r="W73" s="8">
        <f t="shared" si="1"/>
        <v>0</v>
      </c>
      <c r="X73" s="272">
        <f t="shared" si="2"/>
        <v>0</v>
      </c>
      <c r="Y73" s="489">
        <f t="shared" si="3"/>
        <v>0</v>
      </c>
    </row>
    <row r="74" spans="2:25">
      <c r="B74" s="100" t="s">
        <v>400</v>
      </c>
      <c r="C74" s="12"/>
      <c r="D74" s="3"/>
      <c r="E74" s="77"/>
      <c r="F74" s="62"/>
      <c r="G74" s="62"/>
      <c r="H74" s="84" t="s">
        <v>382</v>
      </c>
      <c r="I74" s="3"/>
      <c r="J74" s="60">
        <f t="shared" si="4"/>
        <v>0</v>
      </c>
      <c r="K74" s="60">
        <f t="shared" si="5"/>
        <v>0</v>
      </c>
      <c r="L74" s="61">
        <f>K74*係数!$H$30</f>
        <v>0</v>
      </c>
      <c r="M74" s="61">
        <f>K74*係数!$C$30*0.0000258</f>
        <v>0</v>
      </c>
      <c r="N74" s="12"/>
      <c r="O74" s="3"/>
      <c r="P74" s="3"/>
      <c r="Q74" s="84" t="s">
        <v>382</v>
      </c>
      <c r="R74" s="3"/>
      <c r="S74" s="488">
        <f t="shared" si="6"/>
        <v>0</v>
      </c>
      <c r="T74" s="8">
        <f t="shared" si="7"/>
        <v>0</v>
      </c>
      <c r="U74" s="61">
        <f>T74*係数!$H$30</f>
        <v>0</v>
      </c>
      <c r="V74" s="61">
        <f>T74*係数!$C$30*0.0000258</f>
        <v>0</v>
      </c>
      <c r="W74" s="8">
        <f t="shared" si="1"/>
        <v>0</v>
      </c>
      <c r="X74" s="272">
        <f t="shared" si="2"/>
        <v>0</v>
      </c>
      <c r="Y74" s="489">
        <f t="shared" si="3"/>
        <v>0</v>
      </c>
    </row>
    <row r="75" spans="2:25">
      <c r="B75" s="100" t="s">
        <v>401</v>
      </c>
      <c r="C75" s="12"/>
      <c r="D75" s="3"/>
      <c r="E75" s="77"/>
      <c r="F75" s="62"/>
      <c r="G75" s="62"/>
      <c r="H75" s="84" t="s">
        <v>382</v>
      </c>
      <c r="I75" s="3"/>
      <c r="J75" s="60">
        <f t="shared" si="4"/>
        <v>0</v>
      </c>
      <c r="K75" s="60">
        <f t="shared" si="5"/>
        <v>0</v>
      </c>
      <c r="L75" s="61">
        <f>K75*係数!$H$30</f>
        <v>0</v>
      </c>
      <c r="M75" s="61">
        <f>K75*係数!$C$30*0.0000258</f>
        <v>0</v>
      </c>
      <c r="N75" s="12"/>
      <c r="O75" s="3"/>
      <c r="P75" s="3"/>
      <c r="Q75" s="84" t="s">
        <v>382</v>
      </c>
      <c r="R75" s="3"/>
      <c r="S75" s="488">
        <f t="shared" si="6"/>
        <v>0</v>
      </c>
      <c r="T75" s="8">
        <f t="shared" si="7"/>
        <v>0</v>
      </c>
      <c r="U75" s="61">
        <f>T75*係数!$H$30</f>
        <v>0</v>
      </c>
      <c r="V75" s="61">
        <f>T75*係数!$C$30*0.0000258</f>
        <v>0</v>
      </c>
      <c r="W75" s="8">
        <f t="shared" si="1"/>
        <v>0</v>
      </c>
      <c r="X75" s="272">
        <f t="shared" si="2"/>
        <v>0</v>
      </c>
      <c r="Y75" s="489">
        <f t="shared" si="3"/>
        <v>0</v>
      </c>
    </row>
    <row r="76" spans="2:25">
      <c r="B76" s="100" t="s">
        <v>402</v>
      </c>
      <c r="C76" s="12"/>
      <c r="D76" s="3"/>
      <c r="E76" s="77"/>
      <c r="F76" s="62"/>
      <c r="G76" s="62"/>
      <c r="H76" s="84" t="s">
        <v>382</v>
      </c>
      <c r="I76" s="3"/>
      <c r="J76" s="60">
        <f t="shared" si="4"/>
        <v>0</v>
      </c>
      <c r="K76" s="60">
        <f t="shared" si="5"/>
        <v>0</v>
      </c>
      <c r="L76" s="61">
        <f>K76*係数!$H$30</f>
        <v>0</v>
      </c>
      <c r="M76" s="61">
        <f>K76*係数!$C$30*0.0000258</f>
        <v>0</v>
      </c>
      <c r="N76" s="12"/>
      <c r="O76" s="3"/>
      <c r="P76" s="3"/>
      <c r="Q76" s="84" t="s">
        <v>382</v>
      </c>
      <c r="R76" s="3"/>
      <c r="S76" s="488">
        <f t="shared" si="6"/>
        <v>0</v>
      </c>
      <c r="T76" s="8">
        <f t="shared" si="7"/>
        <v>0</v>
      </c>
      <c r="U76" s="61">
        <f>T76*係数!$H$30</f>
        <v>0</v>
      </c>
      <c r="V76" s="61">
        <f>T76*係数!$C$30*0.0000258</f>
        <v>0</v>
      </c>
      <c r="W76" s="8">
        <f t="shared" si="1"/>
        <v>0</v>
      </c>
      <c r="X76" s="272">
        <f t="shared" si="2"/>
        <v>0</v>
      </c>
      <c r="Y76" s="489">
        <f t="shared" si="3"/>
        <v>0</v>
      </c>
    </row>
    <row r="77" spans="2:25">
      <c r="B77" s="100" t="s">
        <v>403</v>
      </c>
      <c r="C77" s="12"/>
      <c r="D77" s="3"/>
      <c r="E77" s="77"/>
      <c r="F77" s="62"/>
      <c r="G77" s="62"/>
      <c r="H77" s="84" t="s">
        <v>382</v>
      </c>
      <c r="I77" s="3"/>
      <c r="J77" s="60">
        <f t="shared" si="4"/>
        <v>0</v>
      </c>
      <c r="K77" s="60">
        <f t="shared" si="5"/>
        <v>0</v>
      </c>
      <c r="L77" s="61">
        <f>K77*係数!$H$30</f>
        <v>0</v>
      </c>
      <c r="M77" s="61">
        <f>K77*係数!$C$30*0.0000258</f>
        <v>0</v>
      </c>
      <c r="N77" s="12"/>
      <c r="O77" s="3"/>
      <c r="P77" s="3"/>
      <c r="Q77" s="84" t="s">
        <v>382</v>
      </c>
      <c r="R77" s="3"/>
      <c r="S77" s="488">
        <f t="shared" si="6"/>
        <v>0</v>
      </c>
      <c r="T77" s="8">
        <f t="shared" si="7"/>
        <v>0</v>
      </c>
      <c r="U77" s="61">
        <f>T77*係数!$H$30</f>
        <v>0</v>
      </c>
      <c r="V77" s="61">
        <f>T77*係数!$C$30*0.0000258</f>
        <v>0</v>
      </c>
      <c r="W77" s="8">
        <f t="shared" si="1"/>
        <v>0</v>
      </c>
      <c r="X77" s="272">
        <f t="shared" si="2"/>
        <v>0</v>
      </c>
      <c r="Y77" s="489">
        <f t="shared" si="3"/>
        <v>0</v>
      </c>
    </row>
    <row r="78" spans="2:25">
      <c r="B78" s="100" t="s">
        <v>404</v>
      </c>
      <c r="C78" s="12"/>
      <c r="D78" s="3"/>
      <c r="E78" s="77"/>
      <c r="F78" s="62"/>
      <c r="G78" s="62"/>
      <c r="H78" s="84" t="s">
        <v>382</v>
      </c>
      <c r="I78" s="3"/>
      <c r="J78" s="60">
        <f t="shared" si="4"/>
        <v>0</v>
      </c>
      <c r="K78" s="60">
        <f t="shared" si="5"/>
        <v>0</v>
      </c>
      <c r="L78" s="61">
        <f>K78*係数!$H$30</f>
        <v>0</v>
      </c>
      <c r="M78" s="61">
        <f>K78*係数!$C$30*0.0000258</f>
        <v>0</v>
      </c>
      <c r="N78" s="12"/>
      <c r="O78" s="3"/>
      <c r="P78" s="3"/>
      <c r="Q78" s="84" t="s">
        <v>382</v>
      </c>
      <c r="R78" s="3"/>
      <c r="S78" s="488">
        <f t="shared" si="6"/>
        <v>0</v>
      </c>
      <c r="T78" s="8">
        <f t="shared" si="7"/>
        <v>0</v>
      </c>
      <c r="U78" s="61">
        <f>T78*係数!$H$30</f>
        <v>0</v>
      </c>
      <c r="V78" s="61">
        <f>T78*係数!$C$30*0.0000258</f>
        <v>0</v>
      </c>
      <c r="W78" s="8">
        <f t="shared" si="1"/>
        <v>0</v>
      </c>
      <c r="X78" s="272">
        <f t="shared" si="2"/>
        <v>0</v>
      </c>
      <c r="Y78" s="489">
        <f t="shared" si="3"/>
        <v>0</v>
      </c>
    </row>
    <row r="79" spans="2:25">
      <c r="B79" s="100" t="s">
        <v>405</v>
      </c>
      <c r="C79" s="12"/>
      <c r="D79" s="3"/>
      <c r="E79" s="77"/>
      <c r="F79" s="62"/>
      <c r="G79" s="62"/>
      <c r="H79" s="84" t="s">
        <v>382</v>
      </c>
      <c r="I79" s="3"/>
      <c r="J79" s="60">
        <f t="shared" si="4"/>
        <v>0</v>
      </c>
      <c r="K79" s="60">
        <f t="shared" si="5"/>
        <v>0</v>
      </c>
      <c r="L79" s="61">
        <f>K79*係数!$H$30</f>
        <v>0</v>
      </c>
      <c r="M79" s="61">
        <f>K79*係数!$C$30*0.0000258</f>
        <v>0</v>
      </c>
      <c r="N79" s="12"/>
      <c r="O79" s="3"/>
      <c r="P79" s="3"/>
      <c r="Q79" s="84" t="s">
        <v>382</v>
      </c>
      <c r="R79" s="3"/>
      <c r="S79" s="488">
        <f t="shared" si="6"/>
        <v>0</v>
      </c>
      <c r="T79" s="8">
        <f t="shared" si="7"/>
        <v>0</v>
      </c>
      <c r="U79" s="61">
        <f>T79*係数!$H$30</f>
        <v>0</v>
      </c>
      <c r="V79" s="61">
        <f>T79*係数!$C$30*0.0000258</f>
        <v>0</v>
      </c>
      <c r="W79" s="8">
        <f t="shared" si="1"/>
        <v>0</v>
      </c>
      <c r="X79" s="272">
        <f t="shared" si="2"/>
        <v>0</v>
      </c>
      <c r="Y79" s="489">
        <f t="shared" si="3"/>
        <v>0</v>
      </c>
    </row>
    <row r="80" spans="2:25">
      <c r="B80" s="100" t="s">
        <v>406</v>
      </c>
      <c r="C80" s="12"/>
      <c r="D80" s="3"/>
      <c r="E80" s="77"/>
      <c r="F80" s="62"/>
      <c r="G80" s="62"/>
      <c r="H80" s="84" t="s">
        <v>382</v>
      </c>
      <c r="I80" s="3"/>
      <c r="J80" s="60">
        <f t="shared" si="4"/>
        <v>0</v>
      </c>
      <c r="K80" s="60">
        <f t="shared" si="5"/>
        <v>0</v>
      </c>
      <c r="L80" s="61">
        <f>K80*係数!$H$30</f>
        <v>0</v>
      </c>
      <c r="M80" s="61">
        <f>K80*係数!$C$30*0.0000258</f>
        <v>0</v>
      </c>
      <c r="N80" s="12"/>
      <c r="O80" s="3"/>
      <c r="P80" s="3"/>
      <c r="Q80" s="84" t="s">
        <v>382</v>
      </c>
      <c r="R80" s="3"/>
      <c r="S80" s="488">
        <f t="shared" si="6"/>
        <v>0</v>
      </c>
      <c r="T80" s="8">
        <f t="shared" si="7"/>
        <v>0</v>
      </c>
      <c r="U80" s="61">
        <f>T80*係数!$H$30</f>
        <v>0</v>
      </c>
      <c r="V80" s="61">
        <f>T80*係数!$C$30*0.0000258</f>
        <v>0</v>
      </c>
      <c r="W80" s="8">
        <f t="shared" si="1"/>
        <v>0</v>
      </c>
      <c r="X80" s="272">
        <f t="shared" si="2"/>
        <v>0</v>
      </c>
      <c r="Y80" s="489">
        <f t="shared" si="3"/>
        <v>0</v>
      </c>
    </row>
    <row r="81" spans="2:25">
      <c r="B81" s="100" t="s">
        <v>407</v>
      </c>
      <c r="C81" s="12"/>
      <c r="D81" s="3"/>
      <c r="E81" s="77"/>
      <c r="F81" s="62"/>
      <c r="G81" s="62"/>
      <c r="H81" s="84" t="s">
        <v>382</v>
      </c>
      <c r="I81" s="3"/>
      <c r="J81" s="60">
        <f t="shared" si="4"/>
        <v>0</v>
      </c>
      <c r="K81" s="60">
        <f t="shared" si="5"/>
        <v>0</v>
      </c>
      <c r="L81" s="61">
        <f>K81*係数!$H$30</f>
        <v>0</v>
      </c>
      <c r="M81" s="61">
        <f>K81*係数!$C$30*0.0000258</f>
        <v>0</v>
      </c>
      <c r="N81" s="12"/>
      <c r="O81" s="3"/>
      <c r="P81" s="3"/>
      <c r="Q81" s="84" t="s">
        <v>382</v>
      </c>
      <c r="R81" s="3"/>
      <c r="S81" s="488">
        <f t="shared" si="6"/>
        <v>0</v>
      </c>
      <c r="T81" s="8">
        <f t="shared" si="7"/>
        <v>0</v>
      </c>
      <c r="U81" s="61">
        <f>T81*係数!$H$30</f>
        <v>0</v>
      </c>
      <c r="V81" s="61">
        <f>T81*係数!$C$30*0.0000258</f>
        <v>0</v>
      </c>
      <c r="W81" s="8">
        <f t="shared" si="1"/>
        <v>0</v>
      </c>
      <c r="X81" s="272">
        <f t="shared" si="2"/>
        <v>0</v>
      </c>
      <c r="Y81" s="489">
        <f t="shared" si="3"/>
        <v>0</v>
      </c>
    </row>
    <row r="82" spans="2:25">
      <c r="B82" s="100" t="s">
        <v>408</v>
      </c>
      <c r="C82" s="12"/>
      <c r="D82" s="3"/>
      <c r="E82" s="77"/>
      <c r="F82" s="62"/>
      <c r="G82" s="62"/>
      <c r="H82" s="84" t="s">
        <v>382</v>
      </c>
      <c r="I82" s="3"/>
      <c r="J82" s="60">
        <f t="shared" si="4"/>
        <v>0</v>
      </c>
      <c r="K82" s="60">
        <f t="shared" si="5"/>
        <v>0</v>
      </c>
      <c r="L82" s="61">
        <f>K82*係数!$H$30</f>
        <v>0</v>
      </c>
      <c r="M82" s="61">
        <f>K82*係数!$C$30*0.0000258</f>
        <v>0</v>
      </c>
      <c r="N82" s="12"/>
      <c r="O82" s="3"/>
      <c r="P82" s="3"/>
      <c r="Q82" s="84" t="s">
        <v>382</v>
      </c>
      <c r="R82" s="3"/>
      <c r="S82" s="488">
        <f t="shared" si="6"/>
        <v>0</v>
      </c>
      <c r="T82" s="8">
        <f t="shared" si="7"/>
        <v>0</v>
      </c>
      <c r="U82" s="61">
        <f>T82*係数!$H$30</f>
        <v>0</v>
      </c>
      <c r="V82" s="61">
        <f>T82*係数!$C$30*0.0000258</f>
        <v>0</v>
      </c>
      <c r="W82" s="8">
        <f t="shared" si="1"/>
        <v>0</v>
      </c>
      <c r="X82" s="272">
        <f t="shared" si="2"/>
        <v>0</v>
      </c>
      <c r="Y82" s="489">
        <f t="shared" si="3"/>
        <v>0</v>
      </c>
    </row>
    <row r="83" spans="2:25">
      <c r="B83" s="100" t="s">
        <v>409</v>
      </c>
      <c r="C83" s="12"/>
      <c r="D83" s="3"/>
      <c r="E83" s="77"/>
      <c r="F83" s="62"/>
      <c r="G83" s="62"/>
      <c r="H83" s="84" t="s">
        <v>382</v>
      </c>
      <c r="I83" s="3"/>
      <c r="J83" s="60">
        <f t="shared" si="4"/>
        <v>0</v>
      </c>
      <c r="K83" s="60">
        <f t="shared" si="5"/>
        <v>0</v>
      </c>
      <c r="L83" s="61">
        <f>K83*係数!$H$30</f>
        <v>0</v>
      </c>
      <c r="M83" s="61">
        <f>K83*係数!$C$30*0.0000258</f>
        <v>0</v>
      </c>
      <c r="N83" s="12"/>
      <c r="O83" s="3"/>
      <c r="P83" s="3"/>
      <c r="Q83" s="84" t="s">
        <v>382</v>
      </c>
      <c r="R83" s="3"/>
      <c r="S83" s="488">
        <f t="shared" si="6"/>
        <v>0</v>
      </c>
      <c r="T83" s="8">
        <f t="shared" si="7"/>
        <v>0</v>
      </c>
      <c r="U83" s="61">
        <f>T83*係数!$H$30</f>
        <v>0</v>
      </c>
      <c r="V83" s="61">
        <f>T83*係数!$C$30*0.0000258</f>
        <v>0</v>
      </c>
      <c r="W83" s="8">
        <f t="shared" si="1"/>
        <v>0</v>
      </c>
      <c r="X83" s="272">
        <f t="shared" si="2"/>
        <v>0</v>
      </c>
      <c r="Y83" s="489">
        <f t="shared" si="3"/>
        <v>0</v>
      </c>
    </row>
    <row r="84" spans="2:25">
      <c r="B84" s="100" t="s">
        <v>410</v>
      </c>
      <c r="C84" s="12"/>
      <c r="D84" s="3"/>
      <c r="E84" s="77"/>
      <c r="F84" s="62"/>
      <c r="G84" s="62"/>
      <c r="H84" s="84" t="s">
        <v>382</v>
      </c>
      <c r="I84" s="3"/>
      <c r="J84" s="60">
        <f t="shared" si="4"/>
        <v>0</v>
      </c>
      <c r="K84" s="60">
        <f t="shared" ref="K84:K147" si="8">E84*D84*J84/1000</f>
        <v>0</v>
      </c>
      <c r="L84" s="61">
        <f>K84*係数!$H$30</f>
        <v>0</v>
      </c>
      <c r="M84" s="61">
        <f>K84*係数!$C$30*0.0000258</f>
        <v>0</v>
      </c>
      <c r="N84" s="12"/>
      <c r="O84" s="3"/>
      <c r="P84" s="3"/>
      <c r="Q84" s="84" t="s">
        <v>382</v>
      </c>
      <c r="R84" s="3"/>
      <c r="S84" s="488">
        <f t="shared" ref="S84:S147" si="9">IF(Q84="○",F84*G84*R84/100,F84*G84)</f>
        <v>0</v>
      </c>
      <c r="T84" s="8">
        <f t="shared" ref="T84:T147" si="10">P84*O84*S84/1000</f>
        <v>0</v>
      </c>
      <c r="U84" s="61">
        <f>T84*係数!$H$30</f>
        <v>0</v>
      </c>
      <c r="V84" s="61">
        <f>T84*係数!$C$30*0.0000258</f>
        <v>0</v>
      </c>
      <c r="W84" s="8">
        <f t="shared" ref="W84:W147" si="11">K84-T84</f>
        <v>0</v>
      </c>
      <c r="X84" s="272">
        <f t="shared" ref="X84:X147" si="12">L84-U84</f>
        <v>0</v>
      </c>
      <c r="Y84" s="489">
        <f t="shared" ref="Y84:Y147" si="13">M84-V84</f>
        <v>0</v>
      </c>
    </row>
    <row r="85" spans="2:25">
      <c r="B85" s="100" t="s">
        <v>411</v>
      </c>
      <c r="C85" s="12"/>
      <c r="D85" s="3"/>
      <c r="E85" s="77"/>
      <c r="F85" s="62"/>
      <c r="G85" s="62"/>
      <c r="H85" s="84" t="s">
        <v>382</v>
      </c>
      <c r="I85" s="3"/>
      <c r="J85" s="60">
        <f t="shared" ref="J85:J148" si="14">IF(H85="○",F85*G85*I85/100,F85*G85)</f>
        <v>0</v>
      </c>
      <c r="K85" s="60">
        <f t="shared" si="8"/>
        <v>0</v>
      </c>
      <c r="L85" s="61">
        <f>K85*係数!$H$30</f>
        <v>0</v>
      </c>
      <c r="M85" s="61">
        <f>K85*係数!$C$30*0.0000258</f>
        <v>0</v>
      </c>
      <c r="N85" s="12"/>
      <c r="O85" s="3"/>
      <c r="P85" s="3"/>
      <c r="Q85" s="84" t="s">
        <v>382</v>
      </c>
      <c r="R85" s="3"/>
      <c r="S85" s="488">
        <f t="shared" si="9"/>
        <v>0</v>
      </c>
      <c r="T85" s="8">
        <f t="shared" si="10"/>
        <v>0</v>
      </c>
      <c r="U85" s="61">
        <f>T85*係数!$H$30</f>
        <v>0</v>
      </c>
      <c r="V85" s="61">
        <f>T85*係数!$C$30*0.0000258</f>
        <v>0</v>
      </c>
      <c r="W85" s="8">
        <f t="shared" si="11"/>
        <v>0</v>
      </c>
      <c r="X85" s="272">
        <f t="shared" si="12"/>
        <v>0</v>
      </c>
      <c r="Y85" s="489">
        <f t="shared" si="13"/>
        <v>0</v>
      </c>
    </row>
    <row r="86" spans="2:25">
      <c r="B86" s="100" t="s">
        <v>412</v>
      </c>
      <c r="C86" s="12"/>
      <c r="D86" s="3"/>
      <c r="E86" s="77"/>
      <c r="F86" s="62"/>
      <c r="G86" s="62"/>
      <c r="H86" s="84" t="s">
        <v>382</v>
      </c>
      <c r="I86" s="3"/>
      <c r="J86" s="60">
        <f t="shared" si="14"/>
        <v>0</v>
      </c>
      <c r="K86" s="60">
        <f t="shared" si="8"/>
        <v>0</v>
      </c>
      <c r="L86" s="61">
        <f>K86*係数!$H$30</f>
        <v>0</v>
      </c>
      <c r="M86" s="61">
        <f>K86*係数!$C$30*0.0000258</f>
        <v>0</v>
      </c>
      <c r="N86" s="12"/>
      <c r="O86" s="3"/>
      <c r="P86" s="3"/>
      <c r="Q86" s="84" t="s">
        <v>382</v>
      </c>
      <c r="R86" s="3"/>
      <c r="S86" s="488">
        <f t="shared" si="9"/>
        <v>0</v>
      </c>
      <c r="T86" s="8">
        <f t="shared" si="10"/>
        <v>0</v>
      </c>
      <c r="U86" s="61">
        <f>T86*係数!$H$30</f>
        <v>0</v>
      </c>
      <c r="V86" s="61">
        <f>T86*係数!$C$30*0.0000258</f>
        <v>0</v>
      </c>
      <c r="W86" s="8">
        <f t="shared" si="11"/>
        <v>0</v>
      </c>
      <c r="X86" s="272">
        <f t="shared" si="12"/>
        <v>0</v>
      </c>
      <c r="Y86" s="489">
        <f t="shared" si="13"/>
        <v>0</v>
      </c>
    </row>
    <row r="87" spans="2:25">
      <c r="B87" s="100" t="s">
        <v>413</v>
      </c>
      <c r="C87" s="12"/>
      <c r="D87" s="3"/>
      <c r="E87" s="77"/>
      <c r="F87" s="62"/>
      <c r="G87" s="62"/>
      <c r="H87" s="84" t="s">
        <v>382</v>
      </c>
      <c r="I87" s="3"/>
      <c r="J87" s="60">
        <f t="shared" si="14"/>
        <v>0</v>
      </c>
      <c r="K87" s="60">
        <f t="shared" si="8"/>
        <v>0</v>
      </c>
      <c r="L87" s="61">
        <f>K87*係数!$H$30</f>
        <v>0</v>
      </c>
      <c r="M87" s="61">
        <f>K87*係数!$C$30*0.0000258</f>
        <v>0</v>
      </c>
      <c r="N87" s="12"/>
      <c r="O87" s="3"/>
      <c r="P87" s="3"/>
      <c r="Q87" s="84" t="s">
        <v>382</v>
      </c>
      <c r="R87" s="3"/>
      <c r="S87" s="488">
        <f t="shared" si="9"/>
        <v>0</v>
      </c>
      <c r="T87" s="8">
        <f t="shared" si="10"/>
        <v>0</v>
      </c>
      <c r="U87" s="61">
        <f>T87*係数!$H$30</f>
        <v>0</v>
      </c>
      <c r="V87" s="61">
        <f>T87*係数!$C$30*0.0000258</f>
        <v>0</v>
      </c>
      <c r="W87" s="8">
        <f t="shared" si="11"/>
        <v>0</v>
      </c>
      <c r="X87" s="272">
        <f t="shared" si="12"/>
        <v>0</v>
      </c>
      <c r="Y87" s="489">
        <f t="shared" si="13"/>
        <v>0</v>
      </c>
    </row>
    <row r="88" spans="2:25">
      <c r="B88" s="100" t="s">
        <v>414</v>
      </c>
      <c r="C88" s="12"/>
      <c r="D88" s="3"/>
      <c r="E88" s="77"/>
      <c r="F88" s="62"/>
      <c r="G88" s="62"/>
      <c r="H88" s="84" t="s">
        <v>382</v>
      </c>
      <c r="I88" s="3"/>
      <c r="J88" s="60">
        <f t="shared" si="14"/>
        <v>0</v>
      </c>
      <c r="K88" s="60">
        <f t="shared" si="8"/>
        <v>0</v>
      </c>
      <c r="L88" s="61">
        <f>K88*係数!$H$30</f>
        <v>0</v>
      </c>
      <c r="M88" s="61">
        <f>K88*係数!$C$30*0.0000258</f>
        <v>0</v>
      </c>
      <c r="N88" s="12"/>
      <c r="O88" s="3"/>
      <c r="P88" s="3"/>
      <c r="Q88" s="84" t="s">
        <v>382</v>
      </c>
      <c r="R88" s="3"/>
      <c r="S88" s="488">
        <f t="shared" si="9"/>
        <v>0</v>
      </c>
      <c r="T88" s="8">
        <f t="shared" si="10"/>
        <v>0</v>
      </c>
      <c r="U88" s="61">
        <f>T88*係数!$H$30</f>
        <v>0</v>
      </c>
      <c r="V88" s="61">
        <f>T88*係数!$C$30*0.0000258</f>
        <v>0</v>
      </c>
      <c r="W88" s="8">
        <f t="shared" si="11"/>
        <v>0</v>
      </c>
      <c r="X88" s="272">
        <f t="shared" si="12"/>
        <v>0</v>
      </c>
      <c r="Y88" s="489">
        <f t="shared" si="13"/>
        <v>0</v>
      </c>
    </row>
    <row r="89" spans="2:25">
      <c r="B89" s="100" t="s">
        <v>415</v>
      </c>
      <c r="C89" s="12"/>
      <c r="D89" s="3"/>
      <c r="E89" s="77"/>
      <c r="F89" s="62"/>
      <c r="G89" s="62"/>
      <c r="H89" s="84" t="s">
        <v>382</v>
      </c>
      <c r="I89" s="3"/>
      <c r="J89" s="60">
        <f t="shared" si="14"/>
        <v>0</v>
      </c>
      <c r="K89" s="60">
        <f t="shared" si="8"/>
        <v>0</v>
      </c>
      <c r="L89" s="61">
        <f>K89*係数!$H$30</f>
        <v>0</v>
      </c>
      <c r="M89" s="61">
        <f>K89*係数!$C$30*0.0000258</f>
        <v>0</v>
      </c>
      <c r="N89" s="12"/>
      <c r="O89" s="3"/>
      <c r="P89" s="3"/>
      <c r="Q89" s="84" t="s">
        <v>382</v>
      </c>
      <c r="R89" s="3"/>
      <c r="S89" s="488">
        <f t="shared" si="9"/>
        <v>0</v>
      </c>
      <c r="T89" s="8">
        <f t="shared" si="10"/>
        <v>0</v>
      </c>
      <c r="U89" s="61">
        <f>T89*係数!$H$30</f>
        <v>0</v>
      </c>
      <c r="V89" s="61">
        <f>T89*係数!$C$30*0.0000258</f>
        <v>0</v>
      </c>
      <c r="W89" s="8">
        <f t="shared" si="11"/>
        <v>0</v>
      </c>
      <c r="X89" s="272">
        <f t="shared" si="12"/>
        <v>0</v>
      </c>
      <c r="Y89" s="489">
        <f t="shared" si="13"/>
        <v>0</v>
      </c>
    </row>
    <row r="90" spans="2:25">
      <c r="B90" s="100" t="s">
        <v>416</v>
      </c>
      <c r="C90" s="12"/>
      <c r="D90" s="3"/>
      <c r="E90" s="77"/>
      <c r="F90" s="62"/>
      <c r="G90" s="62"/>
      <c r="H90" s="84" t="s">
        <v>382</v>
      </c>
      <c r="I90" s="3"/>
      <c r="J90" s="60">
        <f t="shared" si="14"/>
        <v>0</v>
      </c>
      <c r="K90" s="60">
        <f t="shared" si="8"/>
        <v>0</v>
      </c>
      <c r="L90" s="61">
        <f>K90*係数!$H$30</f>
        <v>0</v>
      </c>
      <c r="M90" s="61">
        <f>K90*係数!$C$30*0.0000258</f>
        <v>0</v>
      </c>
      <c r="N90" s="12"/>
      <c r="O90" s="3"/>
      <c r="P90" s="3"/>
      <c r="Q90" s="84" t="s">
        <v>382</v>
      </c>
      <c r="R90" s="3"/>
      <c r="S90" s="488">
        <f t="shared" si="9"/>
        <v>0</v>
      </c>
      <c r="T90" s="8">
        <f t="shared" si="10"/>
        <v>0</v>
      </c>
      <c r="U90" s="61">
        <f>T90*係数!$H$30</f>
        <v>0</v>
      </c>
      <c r="V90" s="61">
        <f>T90*係数!$C$30*0.0000258</f>
        <v>0</v>
      </c>
      <c r="W90" s="8">
        <f t="shared" si="11"/>
        <v>0</v>
      </c>
      <c r="X90" s="272">
        <f t="shared" si="12"/>
        <v>0</v>
      </c>
      <c r="Y90" s="489">
        <f t="shared" si="13"/>
        <v>0</v>
      </c>
    </row>
    <row r="91" spans="2:25">
      <c r="B91" s="100" t="s">
        <v>417</v>
      </c>
      <c r="C91" s="12"/>
      <c r="D91" s="3"/>
      <c r="E91" s="77"/>
      <c r="F91" s="62"/>
      <c r="G91" s="62"/>
      <c r="H91" s="84" t="s">
        <v>382</v>
      </c>
      <c r="I91" s="3"/>
      <c r="J91" s="60">
        <f t="shared" si="14"/>
        <v>0</v>
      </c>
      <c r="K91" s="60">
        <f t="shared" si="8"/>
        <v>0</v>
      </c>
      <c r="L91" s="61">
        <f>K91*係数!$H$30</f>
        <v>0</v>
      </c>
      <c r="M91" s="61">
        <f>K91*係数!$C$30*0.0000258</f>
        <v>0</v>
      </c>
      <c r="N91" s="12"/>
      <c r="O91" s="3"/>
      <c r="P91" s="3"/>
      <c r="Q91" s="84" t="s">
        <v>382</v>
      </c>
      <c r="R91" s="3"/>
      <c r="S91" s="488">
        <f t="shared" si="9"/>
        <v>0</v>
      </c>
      <c r="T91" s="8">
        <f t="shared" si="10"/>
        <v>0</v>
      </c>
      <c r="U91" s="61">
        <f>T91*係数!$H$30</f>
        <v>0</v>
      </c>
      <c r="V91" s="61">
        <f>T91*係数!$C$30*0.0000258</f>
        <v>0</v>
      </c>
      <c r="W91" s="8">
        <f t="shared" si="11"/>
        <v>0</v>
      </c>
      <c r="X91" s="272">
        <f t="shared" si="12"/>
        <v>0</v>
      </c>
      <c r="Y91" s="489">
        <f t="shared" si="13"/>
        <v>0</v>
      </c>
    </row>
    <row r="92" spans="2:25">
      <c r="B92" s="100" t="s">
        <v>418</v>
      </c>
      <c r="C92" s="12"/>
      <c r="D92" s="3"/>
      <c r="E92" s="77"/>
      <c r="F92" s="62"/>
      <c r="G92" s="62"/>
      <c r="H92" s="84" t="s">
        <v>382</v>
      </c>
      <c r="I92" s="3"/>
      <c r="J92" s="60">
        <f t="shared" si="14"/>
        <v>0</v>
      </c>
      <c r="K92" s="60">
        <f t="shared" si="8"/>
        <v>0</v>
      </c>
      <c r="L92" s="61">
        <f>K92*係数!$H$30</f>
        <v>0</v>
      </c>
      <c r="M92" s="61">
        <f>K92*係数!$C$30*0.0000258</f>
        <v>0</v>
      </c>
      <c r="N92" s="12"/>
      <c r="O92" s="3"/>
      <c r="P92" s="3"/>
      <c r="Q92" s="84" t="s">
        <v>382</v>
      </c>
      <c r="R92" s="3"/>
      <c r="S92" s="488">
        <f t="shared" si="9"/>
        <v>0</v>
      </c>
      <c r="T92" s="8">
        <f t="shared" si="10"/>
        <v>0</v>
      </c>
      <c r="U92" s="61">
        <f>T92*係数!$H$30</f>
        <v>0</v>
      </c>
      <c r="V92" s="61">
        <f>T92*係数!$C$30*0.0000258</f>
        <v>0</v>
      </c>
      <c r="W92" s="8">
        <f t="shared" si="11"/>
        <v>0</v>
      </c>
      <c r="X92" s="272">
        <f t="shared" si="12"/>
        <v>0</v>
      </c>
      <c r="Y92" s="489">
        <f t="shared" si="13"/>
        <v>0</v>
      </c>
    </row>
    <row r="93" spans="2:25">
      <c r="B93" s="100" t="s">
        <v>419</v>
      </c>
      <c r="C93" s="12"/>
      <c r="D93" s="3"/>
      <c r="E93" s="77"/>
      <c r="F93" s="62"/>
      <c r="G93" s="62"/>
      <c r="H93" s="84" t="s">
        <v>382</v>
      </c>
      <c r="I93" s="3"/>
      <c r="J93" s="60">
        <f t="shared" si="14"/>
        <v>0</v>
      </c>
      <c r="K93" s="60">
        <f t="shared" si="8"/>
        <v>0</v>
      </c>
      <c r="L93" s="61">
        <f>K93*係数!$H$30</f>
        <v>0</v>
      </c>
      <c r="M93" s="61">
        <f>K93*係数!$C$30*0.0000258</f>
        <v>0</v>
      </c>
      <c r="N93" s="12"/>
      <c r="O93" s="3"/>
      <c r="P93" s="3"/>
      <c r="Q93" s="84" t="s">
        <v>382</v>
      </c>
      <c r="R93" s="3"/>
      <c r="S93" s="488">
        <f t="shared" si="9"/>
        <v>0</v>
      </c>
      <c r="T93" s="8">
        <f t="shared" si="10"/>
        <v>0</v>
      </c>
      <c r="U93" s="61">
        <f>T93*係数!$H$30</f>
        <v>0</v>
      </c>
      <c r="V93" s="61">
        <f>T93*係数!$C$30*0.0000258</f>
        <v>0</v>
      </c>
      <c r="W93" s="8">
        <f t="shared" si="11"/>
        <v>0</v>
      </c>
      <c r="X93" s="272">
        <f t="shared" si="12"/>
        <v>0</v>
      </c>
      <c r="Y93" s="489">
        <f t="shared" si="13"/>
        <v>0</v>
      </c>
    </row>
    <row r="94" spans="2:25">
      <c r="B94" s="100" t="s">
        <v>420</v>
      </c>
      <c r="C94" s="12"/>
      <c r="D94" s="3"/>
      <c r="E94" s="77"/>
      <c r="F94" s="62"/>
      <c r="G94" s="62"/>
      <c r="H94" s="84" t="s">
        <v>382</v>
      </c>
      <c r="I94" s="3"/>
      <c r="J94" s="60">
        <f t="shared" si="14"/>
        <v>0</v>
      </c>
      <c r="K94" s="60">
        <f t="shared" si="8"/>
        <v>0</v>
      </c>
      <c r="L94" s="61">
        <f>K94*係数!$H$30</f>
        <v>0</v>
      </c>
      <c r="M94" s="61">
        <f>K94*係数!$C$30*0.0000258</f>
        <v>0</v>
      </c>
      <c r="N94" s="12"/>
      <c r="O94" s="3"/>
      <c r="P94" s="3"/>
      <c r="Q94" s="84" t="s">
        <v>382</v>
      </c>
      <c r="R94" s="3"/>
      <c r="S94" s="488">
        <f t="shared" si="9"/>
        <v>0</v>
      </c>
      <c r="T94" s="8">
        <f t="shared" si="10"/>
        <v>0</v>
      </c>
      <c r="U94" s="61">
        <f>T94*係数!$H$30</f>
        <v>0</v>
      </c>
      <c r="V94" s="61">
        <f>T94*係数!$C$30*0.0000258</f>
        <v>0</v>
      </c>
      <c r="W94" s="8">
        <f t="shared" si="11"/>
        <v>0</v>
      </c>
      <c r="X94" s="272">
        <f t="shared" si="12"/>
        <v>0</v>
      </c>
      <c r="Y94" s="489">
        <f t="shared" si="13"/>
        <v>0</v>
      </c>
    </row>
    <row r="95" spans="2:25">
      <c r="B95" s="100" t="s">
        <v>421</v>
      </c>
      <c r="C95" s="12"/>
      <c r="D95" s="3"/>
      <c r="E95" s="77"/>
      <c r="F95" s="62"/>
      <c r="G95" s="62"/>
      <c r="H95" s="84" t="s">
        <v>382</v>
      </c>
      <c r="I95" s="3"/>
      <c r="J95" s="60">
        <f t="shared" si="14"/>
        <v>0</v>
      </c>
      <c r="K95" s="60">
        <f t="shared" si="8"/>
        <v>0</v>
      </c>
      <c r="L95" s="61">
        <f>K95*係数!$H$30</f>
        <v>0</v>
      </c>
      <c r="M95" s="61">
        <f>K95*係数!$C$30*0.0000258</f>
        <v>0</v>
      </c>
      <c r="N95" s="12"/>
      <c r="O95" s="3"/>
      <c r="P95" s="3"/>
      <c r="Q95" s="84" t="s">
        <v>382</v>
      </c>
      <c r="R95" s="3"/>
      <c r="S95" s="488">
        <f t="shared" si="9"/>
        <v>0</v>
      </c>
      <c r="T95" s="8">
        <f t="shared" si="10"/>
        <v>0</v>
      </c>
      <c r="U95" s="61">
        <f>T95*係数!$H$30</f>
        <v>0</v>
      </c>
      <c r="V95" s="61">
        <f>T95*係数!$C$30*0.0000258</f>
        <v>0</v>
      </c>
      <c r="W95" s="8">
        <f t="shared" si="11"/>
        <v>0</v>
      </c>
      <c r="X95" s="272">
        <f t="shared" si="12"/>
        <v>0</v>
      </c>
      <c r="Y95" s="489">
        <f t="shared" si="13"/>
        <v>0</v>
      </c>
    </row>
    <row r="96" spans="2:25">
      <c r="B96" s="100" t="s">
        <v>422</v>
      </c>
      <c r="C96" s="12"/>
      <c r="D96" s="3"/>
      <c r="E96" s="77"/>
      <c r="F96" s="62"/>
      <c r="G96" s="62"/>
      <c r="H96" s="84" t="s">
        <v>382</v>
      </c>
      <c r="I96" s="3"/>
      <c r="J96" s="60">
        <f t="shared" si="14"/>
        <v>0</v>
      </c>
      <c r="K96" s="60">
        <f t="shared" si="8"/>
        <v>0</v>
      </c>
      <c r="L96" s="61">
        <f>K96*係数!$H$30</f>
        <v>0</v>
      </c>
      <c r="M96" s="61">
        <f>K96*係数!$C$30*0.0000258</f>
        <v>0</v>
      </c>
      <c r="N96" s="12"/>
      <c r="O96" s="3"/>
      <c r="P96" s="3"/>
      <c r="Q96" s="84" t="s">
        <v>382</v>
      </c>
      <c r="R96" s="3"/>
      <c r="S96" s="488">
        <f t="shared" si="9"/>
        <v>0</v>
      </c>
      <c r="T96" s="8">
        <f t="shared" si="10"/>
        <v>0</v>
      </c>
      <c r="U96" s="61">
        <f>T96*係数!$H$30</f>
        <v>0</v>
      </c>
      <c r="V96" s="61">
        <f>T96*係数!$C$30*0.0000258</f>
        <v>0</v>
      </c>
      <c r="W96" s="8">
        <f t="shared" si="11"/>
        <v>0</v>
      </c>
      <c r="X96" s="272">
        <f t="shared" si="12"/>
        <v>0</v>
      </c>
      <c r="Y96" s="489">
        <f t="shared" si="13"/>
        <v>0</v>
      </c>
    </row>
    <row r="97" spans="2:25">
      <c r="B97" s="100" t="s">
        <v>423</v>
      </c>
      <c r="C97" s="12"/>
      <c r="D97" s="3"/>
      <c r="E97" s="77"/>
      <c r="F97" s="62"/>
      <c r="G97" s="62"/>
      <c r="H97" s="84" t="s">
        <v>382</v>
      </c>
      <c r="I97" s="3"/>
      <c r="J97" s="60">
        <f t="shared" si="14"/>
        <v>0</v>
      </c>
      <c r="K97" s="60">
        <f t="shared" si="8"/>
        <v>0</v>
      </c>
      <c r="L97" s="61">
        <f>K97*係数!$H$30</f>
        <v>0</v>
      </c>
      <c r="M97" s="61">
        <f>K97*係数!$C$30*0.0000258</f>
        <v>0</v>
      </c>
      <c r="N97" s="12"/>
      <c r="O97" s="3"/>
      <c r="P97" s="3"/>
      <c r="Q97" s="84" t="s">
        <v>382</v>
      </c>
      <c r="R97" s="3"/>
      <c r="S97" s="488">
        <f t="shared" si="9"/>
        <v>0</v>
      </c>
      <c r="T97" s="8">
        <f t="shared" si="10"/>
        <v>0</v>
      </c>
      <c r="U97" s="61">
        <f>T97*係数!$H$30</f>
        <v>0</v>
      </c>
      <c r="V97" s="61">
        <f>T97*係数!$C$30*0.0000258</f>
        <v>0</v>
      </c>
      <c r="W97" s="8">
        <f t="shared" si="11"/>
        <v>0</v>
      </c>
      <c r="X97" s="272">
        <f t="shared" si="12"/>
        <v>0</v>
      </c>
      <c r="Y97" s="489">
        <f t="shared" si="13"/>
        <v>0</v>
      </c>
    </row>
    <row r="98" spans="2:25">
      <c r="B98" s="100" t="s">
        <v>424</v>
      </c>
      <c r="C98" s="12"/>
      <c r="D98" s="3"/>
      <c r="E98" s="77"/>
      <c r="F98" s="62"/>
      <c r="G98" s="62"/>
      <c r="H98" s="84" t="s">
        <v>382</v>
      </c>
      <c r="I98" s="3"/>
      <c r="J98" s="60">
        <f t="shared" si="14"/>
        <v>0</v>
      </c>
      <c r="K98" s="60">
        <f t="shared" si="8"/>
        <v>0</v>
      </c>
      <c r="L98" s="61">
        <f>K98*係数!$H$30</f>
        <v>0</v>
      </c>
      <c r="M98" s="61">
        <f>K98*係数!$C$30*0.0000258</f>
        <v>0</v>
      </c>
      <c r="N98" s="12"/>
      <c r="O98" s="3"/>
      <c r="P98" s="3"/>
      <c r="Q98" s="84" t="s">
        <v>382</v>
      </c>
      <c r="R98" s="3"/>
      <c r="S98" s="488">
        <f t="shared" si="9"/>
        <v>0</v>
      </c>
      <c r="T98" s="8">
        <f t="shared" si="10"/>
        <v>0</v>
      </c>
      <c r="U98" s="61">
        <f>T98*係数!$H$30</f>
        <v>0</v>
      </c>
      <c r="V98" s="61">
        <f>T98*係数!$C$30*0.0000258</f>
        <v>0</v>
      </c>
      <c r="W98" s="8">
        <f t="shared" si="11"/>
        <v>0</v>
      </c>
      <c r="X98" s="272">
        <f t="shared" si="12"/>
        <v>0</v>
      </c>
      <c r="Y98" s="489">
        <f t="shared" si="13"/>
        <v>0</v>
      </c>
    </row>
    <row r="99" spans="2:25">
      <c r="B99" s="100" t="s">
        <v>425</v>
      </c>
      <c r="C99" s="12"/>
      <c r="D99" s="3"/>
      <c r="E99" s="77"/>
      <c r="F99" s="62"/>
      <c r="G99" s="62"/>
      <c r="H99" s="84" t="s">
        <v>382</v>
      </c>
      <c r="I99" s="3"/>
      <c r="J99" s="60">
        <f t="shared" si="14"/>
        <v>0</v>
      </c>
      <c r="K99" s="60">
        <f t="shared" si="8"/>
        <v>0</v>
      </c>
      <c r="L99" s="61">
        <f>K99*係数!$H$30</f>
        <v>0</v>
      </c>
      <c r="M99" s="61">
        <f>K99*係数!$C$30*0.0000258</f>
        <v>0</v>
      </c>
      <c r="N99" s="12"/>
      <c r="O99" s="3"/>
      <c r="P99" s="3"/>
      <c r="Q99" s="84" t="s">
        <v>382</v>
      </c>
      <c r="R99" s="3"/>
      <c r="S99" s="488">
        <f t="shared" si="9"/>
        <v>0</v>
      </c>
      <c r="T99" s="8">
        <f t="shared" si="10"/>
        <v>0</v>
      </c>
      <c r="U99" s="61">
        <f>T99*係数!$H$30</f>
        <v>0</v>
      </c>
      <c r="V99" s="61">
        <f>T99*係数!$C$30*0.0000258</f>
        <v>0</v>
      </c>
      <c r="W99" s="8">
        <f t="shared" si="11"/>
        <v>0</v>
      </c>
      <c r="X99" s="272">
        <f t="shared" si="12"/>
        <v>0</v>
      </c>
      <c r="Y99" s="489">
        <f t="shared" si="13"/>
        <v>0</v>
      </c>
    </row>
    <row r="100" spans="2:25">
      <c r="B100" s="100" t="s">
        <v>426</v>
      </c>
      <c r="C100" s="12"/>
      <c r="D100" s="3"/>
      <c r="E100" s="77"/>
      <c r="F100" s="62"/>
      <c r="G100" s="62"/>
      <c r="H100" s="84" t="s">
        <v>382</v>
      </c>
      <c r="I100" s="3"/>
      <c r="J100" s="60">
        <f t="shared" si="14"/>
        <v>0</v>
      </c>
      <c r="K100" s="60">
        <f t="shared" si="8"/>
        <v>0</v>
      </c>
      <c r="L100" s="61">
        <f>K100*係数!$H$30</f>
        <v>0</v>
      </c>
      <c r="M100" s="61">
        <f>K100*係数!$C$30*0.0000258</f>
        <v>0</v>
      </c>
      <c r="N100" s="12"/>
      <c r="O100" s="3"/>
      <c r="P100" s="3"/>
      <c r="Q100" s="84" t="s">
        <v>382</v>
      </c>
      <c r="R100" s="3"/>
      <c r="S100" s="488">
        <f t="shared" si="9"/>
        <v>0</v>
      </c>
      <c r="T100" s="8">
        <f t="shared" si="10"/>
        <v>0</v>
      </c>
      <c r="U100" s="61">
        <f>T100*係数!$H$30</f>
        <v>0</v>
      </c>
      <c r="V100" s="61">
        <f>T100*係数!$C$30*0.0000258</f>
        <v>0</v>
      </c>
      <c r="W100" s="8">
        <f t="shared" si="11"/>
        <v>0</v>
      </c>
      <c r="X100" s="272">
        <f t="shared" si="12"/>
        <v>0</v>
      </c>
      <c r="Y100" s="489">
        <f t="shared" si="13"/>
        <v>0</v>
      </c>
    </row>
    <row r="101" spans="2:25">
      <c r="B101" s="100" t="s">
        <v>427</v>
      </c>
      <c r="C101" s="12"/>
      <c r="D101" s="3"/>
      <c r="E101" s="77"/>
      <c r="F101" s="62"/>
      <c r="G101" s="62"/>
      <c r="H101" s="84" t="s">
        <v>382</v>
      </c>
      <c r="I101" s="3"/>
      <c r="J101" s="60">
        <f t="shared" si="14"/>
        <v>0</v>
      </c>
      <c r="K101" s="60">
        <f t="shared" si="8"/>
        <v>0</v>
      </c>
      <c r="L101" s="61">
        <f>K101*係数!$H$30</f>
        <v>0</v>
      </c>
      <c r="M101" s="61">
        <f>K101*係数!$C$30*0.0000258</f>
        <v>0</v>
      </c>
      <c r="N101" s="12"/>
      <c r="O101" s="3"/>
      <c r="P101" s="3"/>
      <c r="Q101" s="84" t="s">
        <v>382</v>
      </c>
      <c r="R101" s="3"/>
      <c r="S101" s="488">
        <f t="shared" si="9"/>
        <v>0</v>
      </c>
      <c r="T101" s="8">
        <f t="shared" si="10"/>
        <v>0</v>
      </c>
      <c r="U101" s="61">
        <f>T101*係数!$H$30</f>
        <v>0</v>
      </c>
      <c r="V101" s="61">
        <f>T101*係数!$C$30*0.0000258</f>
        <v>0</v>
      </c>
      <c r="W101" s="8">
        <f t="shared" si="11"/>
        <v>0</v>
      </c>
      <c r="X101" s="272">
        <f t="shared" si="12"/>
        <v>0</v>
      </c>
      <c r="Y101" s="489">
        <f t="shared" si="13"/>
        <v>0</v>
      </c>
    </row>
    <row r="102" spans="2:25">
      <c r="B102" s="100" t="s">
        <v>428</v>
      </c>
      <c r="C102" s="12"/>
      <c r="D102" s="3"/>
      <c r="E102" s="77"/>
      <c r="F102" s="62"/>
      <c r="G102" s="62"/>
      <c r="H102" s="84" t="s">
        <v>382</v>
      </c>
      <c r="I102" s="3"/>
      <c r="J102" s="60">
        <f t="shared" si="14"/>
        <v>0</v>
      </c>
      <c r="K102" s="60">
        <f t="shared" si="8"/>
        <v>0</v>
      </c>
      <c r="L102" s="61">
        <f>K102*係数!$H$30</f>
        <v>0</v>
      </c>
      <c r="M102" s="61">
        <f>K102*係数!$C$30*0.0000258</f>
        <v>0</v>
      </c>
      <c r="N102" s="12"/>
      <c r="O102" s="3"/>
      <c r="P102" s="3"/>
      <c r="Q102" s="84" t="s">
        <v>382</v>
      </c>
      <c r="R102" s="3"/>
      <c r="S102" s="488">
        <f t="shared" si="9"/>
        <v>0</v>
      </c>
      <c r="T102" s="8">
        <f t="shared" si="10"/>
        <v>0</v>
      </c>
      <c r="U102" s="61">
        <f>T102*係数!$H$30</f>
        <v>0</v>
      </c>
      <c r="V102" s="61">
        <f>T102*係数!$C$30*0.0000258</f>
        <v>0</v>
      </c>
      <c r="W102" s="8">
        <f t="shared" si="11"/>
        <v>0</v>
      </c>
      <c r="X102" s="272">
        <f t="shared" si="12"/>
        <v>0</v>
      </c>
      <c r="Y102" s="489">
        <f t="shared" si="13"/>
        <v>0</v>
      </c>
    </row>
    <row r="103" spans="2:25">
      <c r="B103" s="100" t="s">
        <v>429</v>
      </c>
      <c r="C103" s="12"/>
      <c r="D103" s="3"/>
      <c r="E103" s="77"/>
      <c r="F103" s="62"/>
      <c r="G103" s="62"/>
      <c r="H103" s="84" t="s">
        <v>382</v>
      </c>
      <c r="I103" s="3"/>
      <c r="J103" s="60">
        <f t="shared" si="14"/>
        <v>0</v>
      </c>
      <c r="K103" s="60">
        <f t="shared" si="8"/>
        <v>0</v>
      </c>
      <c r="L103" s="61">
        <f>K103*係数!$H$30</f>
        <v>0</v>
      </c>
      <c r="M103" s="61">
        <f>K103*係数!$C$30*0.0000258</f>
        <v>0</v>
      </c>
      <c r="N103" s="12"/>
      <c r="O103" s="3"/>
      <c r="P103" s="3"/>
      <c r="Q103" s="84" t="s">
        <v>382</v>
      </c>
      <c r="R103" s="3"/>
      <c r="S103" s="488">
        <f t="shared" si="9"/>
        <v>0</v>
      </c>
      <c r="T103" s="8">
        <f t="shared" si="10"/>
        <v>0</v>
      </c>
      <c r="U103" s="61">
        <f>T103*係数!$H$30</f>
        <v>0</v>
      </c>
      <c r="V103" s="61">
        <f>T103*係数!$C$30*0.0000258</f>
        <v>0</v>
      </c>
      <c r="W103" s="8">
        <f t="shared" si="11"/>
        <v>0</v>
      </c>
      <c r="X103" s="272">
        <f t="shared" si="12"/>
        <v>0</v>
      </c>
      <c r="Y103" s="489">
        <f t="shared" si="13"/>
        <v>0</v>
      </c>
    </row>
    <row r="104" spans="2:25">
      <c r="B104" s="100" t="s">
        <v>430</v>
      </c>
      <c r="C104" s="12"/>
      <c r="D104" s="3"/>
      <c r="E104" s="77"/>
      <c r="F104" s="62"/>
      <c r="G104" s="62"/>
      <c r="H104" s="84" t="s">
        <v>382</v>
      </c>
      <c r="I104" s="3"/>
      <c r="J104" s="60">
        <f t="shared" si="14"/>
        <v>0</v>
      </c>
      <c r="K104" s="60">
        <f t="shared" si="8"/>
        <v>0</v>
      </c>
      <c r="L104" s="61">
        <f>K104*係数!$H$30</f>
        <v>0</v>
      </c>
      <c r="M104" s="61">
        <f>K104*係数!$C$30*0.0000258</f>
        <v>0</v>
      </c>
      <c r="N104" s="12"/>
      <c r="O104" s="3"/>
      <c r="P104" s="3"/>
      <c r="Q104" s="84" t="s">
        <v>382</v>
      </c>
      <c r="R104" s="3"/>
      <c r="S104" s="488">
        <f t="shared" si="9"/>
        <v>0</v>
      </c>
      <c r="T104" s="8">
        <f t="shared" si="10"/>
        <v>0</v>
      </c>
      <c r="U104" s="61">
        <f>T104*係数!$H$30</f>
        <v>0</v>
      </c>
      <c r="V104" s="61">
        <f>T104*係数!$C$30*0.0000258</f>
        <v>0</v>
      </c>
      <c r="W104" s="8">
        <f t="shared" si="11"/>
        <v>0</v>
      </c>
      <c r="X104" s="272">
        <f t="shared" si="12"/>
        <v>0</v>
      </c>
      <c r="Y104" s="489">
        <f t="shared" si="13"/>
        <v>0</v>
      </c>
    </row>
    <row r="105" spans="2:25">
      <c r="B105" s="100" t="s">
        <v>431</v>
      </c>
      <c r="C105" s="12"/>
      <c r="D105" s="3"/>
      <c r="E105" s="77"/>
      <c r="F105" s="62"/>
      <c r="G105" s="62"/>
      <c r="H105" s="84" t="s">
        <v>382</v>
      </c>
      <c r="I105" s="3"/>
      <c r="J105" s="60">
        <f t="shared" si="14"/>
        <v>0</v>
      </c>
      <c r="K105" s="60">
        <f t="shared" si="8"/>
        <v>0</v>
      </c>
      <c r="L105" s="61">
        <f>K105*係数!$H$30</f>
        <v>0</v>
      </c>
      <c r="M105" s="61">
        <f>K105*係数!$C$30*0.0000258</f>
        <v>0</v>
      </c>
      <c r="N105" s="12"/>
      <c r="O105" s="3"/>
      <c r="P105" s="3"/>
      <c r="Q105" s="84" t="s">
        <v>382</v>
      </c>
      <c r="R105" s="3"/>
      <c r="S105" s="488">
        <f t="shared" si="9"/>
        <v>0</v>
      </c>
      <c r="T105" s="8">
        <f t="shared" si="10"/>
        <v>0</v>
      </c>
      <c r="U105" s="61">
        <f>T105*係数!$H$30</f>
        <v>0</v>
      </c>
      <c r="V105" s="61">
        <f>T105*係数!$C$30*0.0000258</f>
        <v>0</v>
      </c>
      <c r="W105" s="8">
        <f t="shared" si="11"/>
        <v>0</v>
      </c>
      <c r="X105" s="272">
        <f t="shared" si="12"/>
        <v>0</v>
      </c>
      <c r="Y105" s="489">
        <f t="shared" si="13"/>
        <v>0</v>
      </c>
    </row>
    <row r="106" spans="2:25">
      <c r="B106" s="100" t="s">
        <v>432</v>
      </c>
      <c r="C106" s="12"/>
      <c r="D106" s="3"/>
      <c r="E106" s="77"/>
      <c r="F106" s="62"/>
      <c r="G106" s="62"/>
      <c r="H106" s="84" t="s">
        <v>382</v>
      </c>
      <c r="I106" s="3"/>
      <c r="J106" s="60">
        <f t="shared" si="14"/>
        <v>0</v>
      </c>
      <c r="K106" s="60">
        <f t="shared" si="8"/>
        <v>0</v>
      </c>
      <c r="L106" s="61">
        <f>K106*係数!$H$30</f>
        <v>0</v>
      </c>
      <c r="M106" s="61">
        <f>K106*係数!$C$30*0.0000258</f>
        <v>0</v>
      </c>
      <c r="N106" s="12"/>
      <c r="O106" s="3"/>
      <c r="P106" s="3"/>
      <c r="Q106" s="84" t="s">
        <v>382</v>
      </c>
      <c r="R106" s="3"/>
      <c r="S106" s="488">
        <f t="shared" si="9"/>
        <v>0</v>
      </c>
      <c r="T106" s="8">
        <f t="shared" si="10"/>
        <v>0</v>
      </c>
      <c r="U106" s="61">
        <f>T106*係数!$H$30</f>
        <v>0</v>
      </c>
      <c r="V106" s="61">
        <f>T106*係数!$C$30*0.0000258</f>
        <v>0</v>
      </c>
      <c r="W106" s="8">
        <f t="shared" si="11"/>
        <v>0</v>
      </c>
      <c r="X106" s="272">
        <f t="shared" si="12"/>
        <v>0</v>
      </c>
      <c r="Y106" s="489">
        <f t="shared" si="13"/>
        <v>0</v>
      </c>
    </row>
    <row r="107" spans="2:25">
      <c r="B107" s="100" t="s">
        <v>433</v>
      </c>
      <c r="C107" s="12"/>
      <c r="D107" s="3"/>
      <c r="E107" s="77"/>
      <c r="F107" s="62"/>
      <c r="G107" s="62"/>
      <c r="H107" s="84" t="s">
        <v>382</v>
      </c>
      <c r="I107" s="3"/>
      <c r="J107" s="60">
        <f t="shared" si="14"/>
        <v>0</v>
      </c>
      <c r="K107" s="60">
        <f t="shared" si="8"/>
        <v>0</v>
      </c>
      <c r="L107" s="61">
        <f>K107*係数!$H$30</f>
        <v>0</v>
      </c>
      <c r="M107" s="61">
        <f>K107*係数!$C$30*0.0000258</f>
        <v>0</v>
      </c>
      <c r="N107" s="12"/>
      <c r="O107" s="3"/>
      <c r="P107" s="3"/>
      <c r="Q107" s="84" t="s">
        <v>382</v>
      </c>
      <c r="R107" s="3"/>
      <c r="S107" s="488">
        <f t="shared" si="9"/>
        <v>0</v>
      </c>
      <c r="T107" s="8">
        <f t="shared" si="10"/>
        <v>0</v>
      </c>
      <c r="U107" s="61">
        <f>T107*係数!$H$30</f>
        <v>0</v>
      </c>
      <c r="V107" s="61">
        <f>T107*係数!$C$30*0.0000258</f>
        <v>0</v>
      </c>
      <c r="W107" s="8">
        <f t="shared" si="11"/>
        <v>0</v>
      </c>
      <c r="X107" s="272">
        <f t="shared" si="12"/>
        <v>0</v>
      </c>
      <c r="Y107" s="489">
        <f t="shared" si="13"/>
        <v>0</v>
      </c>
    </row>
    <row r="108" spans="2:25">
      <c r="B108" s="100" t="s">
        <v>434</v>
      </c>
      <c r="C108" s="12"/>
      <c r="D108" s="3"/>
      <c r="E108" s="77"/>
      <c r="F108" s="62"/>
      <c r="G108" s="62"/>
      <c r="H108" s="84" t="s">
        <v>382</v>
      </c>
      <c r="I108" s="3"/>
      <c r="J108" s="60">
        <f t="shared" si="14"/>
        <v>0</v>
      </c>
      <c r="K108" s="60">
        <f t="shared" si="8"/>
        <v>0</v>
      </c>
      <c r="L108" s="61">
        <f>K108*係数!$H$30</f>
        <v>0</v>
      </c>
      <c r="M108" s="61">
        <f>K108*係数!$C$30*0.0000258</f>
        <v>0</v>
      </c>
      <c r="N108" s="12"/>
      <c r="O108" s="3"/>
      <c r="P108" s="3"/>
      <c r="Q108" s="84" t="s">
        <v>382</v>
      </c>
      <c r="R108" s="3"/>
      <c r="S108" s="488">
        <f t="shared" si="9"/>
        <v>0</v>
      </c>
      <c r="T108" s="8">
        <f t="shared" si="10"/>
        <v>0</v>
      </c>
      <c r="U108" s="61">
        <f>T108*係数!$H$30</f>
        <v>0</v>
      </c>
      <c r="V108" s="61">
        <f>T108*係数!$C$30*0.0000258</f>
        <v>0</v>
      </c>
      <c r="W108" s="8">
        <f t="shared" si="11"/>
        <v>0</v>
      </c>
      <c r="X108" s="272">
        <f t="shared" si="12"/>
        <v>0</v>
      </c>
      <c r="Y108" s="489">
        <f t="shared" si="13"/>
        <v>0</v>
      </c>
    </row>
    <row r="109" spans="2:25">
      <c r="B109" s="100" t="s">
        <v>435</v>
      </c>
      <c r="C109" s="12"/>
      <c r="D109" s="3"/>
      <c r="E109" s="77"/>
      <c r="F109" s="62"/>
      <c r="G109" s="62"/>
      <c r="H109" s="84" t="s">
        <v>382</v>
      </c>
      <c r="I109" s="3"/>
      <c r="J109" s="60">
        <f t="shared" si="14"/>
        <v>0</v>
      </c>
      <c r="K109" s="60">
        <f t="shared" si="8"/>
        <v>0</v>
      </c>
      <c r="L109" s="61">
        <f>K109*係数!$H$30</f>
        <v>0</v>
      </c>
      <c r="M109" s="61">
        <f>K109*係数!$C$30*0.0000258</f>
        <v>0</v>
      </c>
      <c r="N109" s="12"/>
      <c r="O109" s="3"/>
      <c r="P109" s="3"/>
      <c r="Q109" s="84" t="s">
        <v>382</v>
      </c>
      <c r="R109" s="3"/>
      <c r="S109" s="488">
        <f t="shared" si="9"/>
        <v>0</v>
      </c>
      <c r="T109" s="8">
        <f t="shared" si="10"/>
        <v>0</v>
      </c>
      <c r="U109" s="61">
        <f>T109*係数!$H$30</f>
        <v>0</v>
      </c>
      <c r="V109" s="61">
        <f>T109*係数!$C$30*0.0000258</f>
        <v>0</v>
      </c>
      <c r="W109" s="8">
        <f t="shared" si="11"/>
        <v>0</v>
      </c>
      <c r="X109" s="272">
        <f t="shared" si="12"/>
        <v>0</v>
      </c>
      <c r="Y109" s="489">
        <f t="shared" si="13"/>
        <v>0</v>
      </c>
    </row>
    <row r="110" spans="2:25">
      <c r="B110" s="100" t="s">
        <v>436</v>
      </c>
      <c r="C110" s="12"/>
      <c r="D110" s="3"/>
      <c r="E110" s="77"/>
      <c r="F110" s="62"/>
      <c r="G110" s="62"/>
      <c r="H110" s="84" t="s">
        <v>382</v>
      </c>
      <c r="I110" s="3"/>
      <c r="J110" s="60">
        <f t="shared" si="14"/>
        <v>0</v>
      </c>
      <c r="K110" s="60">
        <f t="shared" si="8"/>
        <v>0</v>
      </c>
      <c r="L110" s="61">
        <f>K110*係数!$H$30</f>
        <v>0</v>
      </c>
      <c r="M110" s="61">
        <f>K110*係数!$C$30*0.0000258</f>
        <v>0</v>
      </c>
      <c r="N110" s="12"/>
      <c r="O110" s="3"/>
      <c r="P110" s="3"/>
      <c r="Q110" s="84" t="s">
        <v>382</v>
      </c>
      <c r="R110" s="3"/>
      <c r="S110" s="488">
        <f t="shared" si="9"/>
        <v>0</v>
      </c>
      <c r="T110" s="8">
        <f t="shared" si="10"/>
        <v>0</v>
      </c>
      <c r="U110" s="61">
        <f>T110*係数!$H$30</f>
        <v>0</v>
      </c>
      <c r="V110" s="61">
        <f>T110*係数!$C$30*0.0000258</f>
        <v>0</v>
      </c>
      <c r="W110" s="8">
        <f t="shared" si="11"/>
        <v>0</v>
      </c>
      <c r="X110" s="272">
        <f t="shared" si="12"/>
        <v>0</v>
      </c>
      <c r="Y110" s="489">
        <f t="shared" si="13"/>
        <v>0</v>
      </c>
    </row>
    <row r="111" spans="2:25">
      <c r="B111" s="100" t="s">
        <v>437</v>
      </c>
      <c r="C111" s="12"/>
      <c r="D111" s="3"/>
      <c r="E111" s="77"/>
      <c r="F111" s="62"/>
      <c r="G111" s="62"/>
      <c r="H111" s="84" t="s">
        <v>382</v>
      </c>
      <c r="I111" s="3"/>
      <c r="J111" s="60">
        <f t="shared" si="14"/>
        <v>0</v>
      </c>
      <c r="K111" s="60">
        <f t="shared" si="8"/>
        <v>0</v>
      </c>
      <c r="L111" s="61">
        <f>K111*係数!$H$30</f>
        <v>0</v>
      </c>
      <c r="M111" s="61">
        <f>K111*係数!$C$30*0.0000258</f>
        <v>0</v>
      </c>
      <c r="N111" s="12"/>
      <c r="O111" s="3"/>
      <c r="P111" s="3"/>
      <c r="Q111" s="84" t="s">
        <v>382</v>
      </c>
      <c r="R111" s="3"/>
      <c r="S111" s="488">
        <f t="shared" si="9"/>
        <v>0</v>
      </c>
      <c r="T111" s="8">
        <f t="shared" si="10"/>
        <v>0</v>
      </c>
      <c r="U111" s="61">
        <f>T111*係数!$H$30</f>
        <v>0</v>
      </c>
      <c r="V111" s="61">
        <f>T111*係数!$C$30*0.0000258</f>
        <v>0</v>
      </c>
      <c r="W111" s="8">
        <f t="shared" si="11"/>
        <v>0</v>
      </c>
      <c r="X111" s="272">
        <f t="shared" si="12"/>
        <v>0</v>
      </c>
      <c r="Y111" s="489">
        <f t="shared" si="13"/>
        <v>0</v>
      </c>
    </row>
    <row r="112" spans="2:25">
      <c r="B112" s="100" t="s">
        <v>438</v>
      </c>
      <c r="C112" s="12"/>
      <c r="D112" s="3"/>
      <c r="E112" s="77"/>
      <c r="F112" s="62"/>
      <c r="G112" s="62"/>
      <c r="H112" s="84" t="s">
        <v>382</v>
      </c>
      <c r="I112" s="3"/>
      <c r="J112" s="60">
        <f t="shared" si="14"/>
        <v>0</v>
      </c>
      <c r="K112" s="60">
        <f t="shared" si="8"/>
        <v>0</v>
      </c>
      <c r="L112" s="61">
        <f>K112*係数!$H$30</f>
        <v>0</v>
      </c>
      <c r="M112" s="61">
        <f>K112*係数!$C$30*0.0000258</f>
        <v>0</v>
      </c>
      <c r="N112" s="12"/>
      <c r="O112" s="3"/>
      <c r="P112" s="3"/>
      <c r="Q112" s="84" t="s">
        <v>382</v>
      </c>
      <c r="R112" s="3"/>
      <c r="S112" s="488">
        <f t="shared" si="9"/>
        <v>0</v>
      </c>
      <c r="T112" s="8">
        <f t="shared" si="10"/>
        <v>0</v>
      </c>
      <c r="U112" s="61">
        <f>T112*係数!$H$30</f>
        <v>0</v>
      </c>
      <c r="V112" s="61">
        <f>T112*係数!$C$30*0.0000258</f>
        <v>0</v>
      </c>
      <c r="W112" s="8">
        <f t="shared" si="11"/>
        <v>0</v>
      </c>
      <c r="X112" s="272">
        <f t="shared" si="12"/>
        <v>0</v>
      </c>
      <c r="Y112" s="489">
        <f t="shared" si="13"/>
        <v>0</v>
      </c>
    </row>
    <row r="113" spans="2:25">
      <c r="B113" s="100" t="s">
        <v>439</v>
      </c>
      <c r="C113" s="12"/>
      <c r="D113" s="3"/>
      <c r="E113" s="77"/>
      <c r="F113" s="62"/>
      <c r="G113" s="62"/>
      <c r="H113" s="84" t="s">
        <v>382</v>
      </c>
      <c r="I113" s="3"/>
      <c r="J113" s="60">
        <f t="shared" si="14"/>
        <v>0</v>
      </c>
      <c r="K113" s="60">
        <f t="shared" si="8"/>
        <v>0</v>
      </c>
      <c r="L113" s="61">
        <f>K113*係数!$H$30</f>
        <v>0</v>
      </c>
      <c r="M113" s="61">
        <f>K113*係数!$C$30*0.0000258</f>
        <v>0</v>
      </c>
      <c r="N113" s="12"/>
      <c r="O113" s="3"/>
      <c r="P113" s="3"/>
      <c r="Q113" s="84" t="s">
        <v>382</v>
      </c>
      <c r="R113" s="3"/>
      <c r="S113" s="488">
        <f t="shared" si="9"/>
        <v>0</v>
      </c>
      <c r="T113" s="8">
        <f t="shared" si="10"/>
        <v>0</v>
      </c>
      <c r="U113" s="61">
        <f>T113*係数!$H$30</f>
        <v>0</v>
      </c>
      <c r="V113" s="61">
        <f>T113*係数!$C$30*0.0000258</f>
        <v>0</v>
      </c>
      <c r="W113" s="8">
        <f t="shared" si="11"/>
        <v>0</v>
      </c>
      <c r="X113" s="272">
        <f t="shared" si="12"/>
        <v>0</v>
      </c>
      <c r="Y113" s="489">
        <f t="shared" si="13"/>
        <v>0</v>
      </c>
    </row>
    <row r="114" spans="2:25">
      <c r="B114" s="100" t="s">
        <v>440</v>
      </c>
      <c r="C114" s="12"/>
      <c r="D114" s="3"/>
      <c r="E114" s="77"/>
      <c r="F114" s="62"/>
      <c r="G114" s="62"/>
      <c r="H114" s="84" t="s">
        <v>382</v>
      </c>
      <c r="I114" s="3"/>
      <c r="J114" s="60">
        <f t="shared" si="14"/>
        <v>0</v>
      </c>
      <c r="K114" s="60">
        <f t="shared" si="8"/>
        <v>0</v>
      </c>
      <c r="L114" s="61">
        <f>K114*係数!$H$30</f>
        <v>0</v>
      </c>
      <c r="M114" s="61">
        <f>K114*係数!$C$30*0.0000258</f>
        <v>0</v>
      </c>
      <c r="N114" s="12"/>
      <c r="O114" s="3"/>
      <c r="P114" s="3"/>
      <c r="Q114" s="84" t="s">
        <v>382</v>
      </c>
      <c r="R114" s="3"/>
      <c r="S114" s="488">
        <f t="shared" si="9"/>
        <v>0</v>
      </c>
      <c r="T114" s="8">
        <f t="shared" si="10"/>
        <v>0</v>
      </c>
      <c r="U114" s="61">
        <f>T114*係数!$H$30</f>
        <v>0</v>
      </c>
      <c r="V114" s="61">
        <f>T114*係数!$C$30*0.0000258</f>
        <v>0</v>
      </c>
      <c r="W114" s="8">
        <f t="shared" si="11"/>
        <v>0</v>
      </c>
      <c r="X114" s="272">
        <f t="shared" si="12"/>
        <v>0</v>
      </c>
      <c r="Y114" s="489">
        <f t="shared" si="13"/>
        <v>0</v>
      </c>
    </row>
    <row r="115" spans="2:25">
      <c r="B115" s="100" t="s">
        <v>441</v>
      </c>
      <c r="C115" s="12"/>
      <c r="D115" s="3"/>
      <c r="E115" s="77"/>
      <c r="F115" s="62"/>
      <c r="G115" s="62"/>
      <c r="H115" s="84" t="s">
        <v>382</v>
      </c>
      <c r="I115" s="3"/>
      <c r="J115" s="60">
        <f t="shared" si="14"/>
        <v>0</v>
      </c>
      <c r="K115" s="60">
        <f t="shared" si="8"/>
        <v>0</v>
      </c>
      <c r="L115" s="61">
        <f>K115*係数!$H$30</f>
        <v>0</v>
      </c>
      <c r="M115" s="61">
        <f>K115*係数!$C$30*0.0000258</f>
        <v>0</v>
      </c>
      <c r="N115" s="12"/>
      <c r="O115" s="3"/>
      <c r="P115" s="3"/>
      <c r="Q115" s="84" t="s">
        <v>382</v>
      </c>
      <c r="R115" s="3"/>
      <c r="S115" s="488">
        <f t="shared" si="9"/>
        <v>0</v>
      </c>
      <c r="T115" s="8">
        <f t="shared" si="10"/>
        <v>0</v>
      </c>
      <c r="U115" s="61">
        <f>T115*係数!$H$30</f>
        <v>0</v>
      </c>
      <c r="V115" s="61">
        <f>T115*係数!$C$30*0.0000258</f>
        <v>0</v>
      </c>
      <c r="W115" s="8">
        <f t="shared" si="11"/>
        <v>0</v>
      </c>
      <c r="X115" s="272">
        <f t="shared" si="12"/>
        <v>0</v>
      </c>
      <c r="Y115" s="489">
        <f t="shared" si="13"/>
        <v>0</v>
      </c>
    </row>
    <row r="116" spans="2:25">
      <c r="B116" s="100" t="s">
        <v>442</v>
      </c>
      <c r="C116" s="12"/>
      <c r="D116" s="3"/>
      <c r="E116" s="77"/>
      <c r="F116" s="62"/>
      <c r="G116" s="62"/>
      <c r="H116" s="84" t="s">
        <v>382</v>
      </c>
      <c r="I116" s="3"/>
      <c r="J116" s="60">
        <f t="shared" si="14"/>
        <v>0</v>
      </c>
      <c r="K116" s="60">
        <f t="shared" si="8"/>
        <v>0</v>
      </c>
      <c r="L116" s="61">
        <f>K116*係数!$H$30</f>
        <v>0</v>
      </c>
      <c r="M116" s="61">
        <f>K116*係数!$C$30*0.0000258</f>
        <v>0</v>
      </c>
      <c r="N116" s="12"/>
      <c r="O116" s="3"/>
      <c r="P116" s="3"/>
      <c r="Q116" s="84" t="s">
        <v>382</v>
      </c>
      <c r="R116" s="3"/>
      <c r="S116" s="488">
        <f t="shared" si="9"/>
        <v>0</v>
      </c>
      <c r="T116" s="8">
        <f t="shared" si="10"/>
        <v>0</v>
      </c>
      <c r="U116" s="61">
        <f>T116*係数!$H$30</f>
        <v>0</v>
      </c>
      <c r="V116" s="61">
        <f>T116*係数!$C$30*0.0000258</f>
        <v>0</v>
      </c>
      <c r="W116" s="8">
        <f t="shared" si="11"/>
        <v>0</v>
      </c>
      <c r="X116" s="272">
        <f t="shared" si="12"/>
        <v>0</v>
      </c>
      <c r="Y116" s="489">
        <f t="shared" si="13"/>
        <v>0</v>
      </c>
    </row>
    <row r="117" spans="2:25">
      <c r="B117" s="100" t="s">
        <v>443</v>
      </c>
      <c r="C117" s="12"/>
      <c r="D117" s="3"/>
      <c r="E117" s="77"/>
      <c r="F117" s="62"/>
      <c r="G117" s="62"/>
      <c r="H117" s="84" t="s">
        <v>382</v>
      </c>
      <c r="I117" s="3"/>
      <c r="J117" s="60">
        <f t="shared" si="14"/>
        <v>0</v>
      </c>
      <c r="K117" s="60">
        <f t="shared" si="8"/>
        <v>0</v>
      </c>
      <c r="L117" s="61">
        <f>K117*係数!$H$30</f>
        <v>0</v>
      </c>
      <c r="M117" s="61">
        <f>K117*係数!$C$30*0.0000258</f>
        <v>0</v>
      </c>
      <c r="N117" s="12"/>
      <c r="O117" s="3"/>
      <c r="P117" s="3"/>
      <c r="Q117" s="84" t="s">
        <v>382</v>
      </c>
      <c r="R117" s="3"/>
      <c r="S117" s="488">
        <f t="shared" si="9"/>
        <v>0</v>
      </c>
      <c r="T117" s="8">
        <f t="shared" si="10"/>
        <v>0</v>
      </c>
      <c r="U117" s="61">
        <f>T117*係数!$H$30</f>
        <v>0</v>
      </c>
      <c r="V117" s="61">
        <f>T117*係数!$C$30*0.0000258</f>
        <v>0</v>
      </c>
      <c r="W117" s="8">
        <f t="shared" si="11"/>
        <v>0</v>
      </c>
      <c r="X117" s="272">
        <f t="shared" si="12"/>
        <v>0</v>
      </c>
      <c r="Y117" s="489">
        <f t="shared" si="13"/>
        <v>0</v>
      </c>
    </row>
    <row r="118" spans="2:25">
      <c r="B118" s="100" t="s">
        <v>444</v>
      </c>
      <c r="C118" s="12"/>
      <c r="D118" s="3"/>
      <c r="E118" s="77"/>
      <c r="F118" s="62"/>
      <c r="G118" s="62"/>
      <c r="H118" s="84" t="s">
        <v>382</v>
      </c>
      <c r="I118" s="3"/>
      <c r="J118" s="60">
        <f t="shared" si="14"/>
        <v>0</v>
      </c>
      <c r="K118" s="60">
        <f t="shared" si="8"/>
        <v>0</v>
      </c>
      <c r="L118" s="61">
        <f>K118*係数!$H$30</f>
        <v>0</v>
      </c>
      <c r="M118" s="61">
        <f>K118*係数!$C$30*0.0000258</f>
        <v>0</v>
      </c>
      <c r="N118" s="12"/>
      <c r="O118" s="3"/>
      <c r="P118" s="3"/>
      <c r="Q118" s="84" t="s">
        <v>382</v>
      </c>
      <c r="R118" s="3"/>
      <c r="S118" s="488">
        <f t="shared" si="9"/>
        <v>0</v>
      </c>
      <c r="T118" s="8">
        <f t="shared" si="10"/>
        <v>0</v>
      </c>
      <c r="U118" s="61">
        <f>T118*係数!$H$30</f>
        <v>0</v>
      </c>
      <c r="V118" s="61">
        <f>T118*係数!$C$30*0.0000258</f>
        <v>0</v>
      </c>
      <c r="W118" s="8">
        <f t="shared" si="11"/>
        <v>0</v>
      </c>
      <c r="X118" s="272">
        <f t="shared" si="12"/>
        <v>0</v>
      </c>
      <c r="Y118" s="489">
        <f t="shared" si="13"/>
        <v>0</v>
      </c>
    </row>
    <row r="119" spans="2:25">
      <c r="B119" s="100" t="s">
        <v>445</v>
      </c>
      <c r="C119" s="12"/>
      <c r="D119" s="3"/>
      <c r="E119" s="77"/>
      <c r="F119" s="62"/>
      <c r="G119" s="62"/>
      <c r="H119" s="84" t="s">
        <v>382</v>
      </c>
      <c r="I119" s="3"/>
      <c r="J119" s="60">
        <f t="shared" si="14"/>
        <v>0</v>
      </c>
      <c r="K119" s="60">
        <f t="shared" si="8"/>
        <v>0</v>
      </c>
      <c r="L119" s="61">
        <f>K119*係数!$H$30</f>
        <v>0</v>
      </c>
      <c r="M119" s="61">
        <f>K119*係数!$C$30*0.0000258</f>
        <v>0</v>
      </c>
      <c r="N119" s="12"/>
      <c r="O119" s="3"/>
      <c r="P119" s="3"/>
      <c r="Q119" s="84" t="s">
        <v>382</v>
      </c>
      <c r="R119" s="3"/>
      <c r="S119" s="488">
        <f t="shared" si="9"/>
        <v>0</v>
      </c>
      <c r="T119" s="8">
        <f t="shared" si="10"/>
        <v>0</v>
      </c>
      <c r="U119" s="61">
        <f>T119*係数!$H$30</f>
        <v>0</v>
      </c>
      <c r="V119" s="61">
        <f>T119*係数!$C$30*0.0000258</f>
        <v>0</v>
      </c>
      <c r="W119" s="8">
        <f t="shared" si="11"/>
        <v>0</v>
      </c>
      <c r="X119" s="272">
        <f t="shared" si="12"/>
        <v>0</v>
      </c>
      <c r="Y119" s="489">
        <f t="shared" si="13"/>
        <v>0</v>
      </c>
    </row>
    <row r="120" spans="2:25">
      <c r="B120" s="100" t="s">
        <v>446</v>
      </c>
      <c r="C120" s="12"/>
      <c r="D120" s="3"/>
      <c r="E120" s="77"/>
      <c r="F120" s="62"/>
      <c r="G120" s="62"/>
      <c r="H120" s="84" t="s">
        <v>382</v>
      </c>
      <c r="I120" s="3"/>
      <c r="J120" s="60">
        <f t="shared" si="14"/>
        <v>0</v>
      </c>
      <c r="K120" s="60">
        <f t="shared" si="8"/>
        <v>0</v>
      </c>
      <c r="L120" s="61">
        <f>K120*係数!$H$30</f>
        <v>0</v>
      </c>
      <c r="M120" s="61">
        <f>K120*係数!$C$30*0.0000258</f>
        <v>0</v>
      </c>
      <c r="N120" s="12"/>
      <c r="O120" s="3"/>
      <c r="P120" s="3"/>
      <c r="Q120" s="84" t="s">
        <v>382</v>
      </c>
      <c r="R120" s="3"/>
      <c r="S120" s="488">
        <f t="shared" si="9"/>
        <v>0</v>
      </c>
      <c r="T120" s="8">
        <f t="shared" si="10"/>
        <v>0</v>
      </c>
      <c r="U120" s="61">
        <f>T120*係数!$H$30</f>
        <v>0</v>
      </c>
      <c r="V120" s="61">
        <f>T120*係数!$C$30*0.0000258</f>
        <v>0</v>
      </c>
      <c r="W120" s="8">
        <f t="shared" si="11"/>
        <v>0</v>
      </c>
      <c r="X120" s="272">
        <f t="shared" si="12"/>
        <v>0</v>
      </c>
      <c r="Y120" s="489">
        <f t="shared" si="13"/>
        <v>0</v>
      </c>
    </row>
    <row r="121" spans="2:25">
      <c r="B121" s="100" t="s">
        <v>447</v>
      </c>
      <c r="C121" s="12"/>
      <c r="D121" s="3"/>
      <c r="E121" s="77"/>
      <c r="F121" s="62"/>
      <c r="G121" s="62"/>
      <c r="H121" s="84" t="s">
        <v>382</v>
      </c>
      <c r="I121" s="3"/>
      <c r="J121" s="60">
        <f t="shared" si="14"/>
        <v>0</v>
      </c>
      <c r="K121" s="60">
        <f t="shared" si="8"/>
        <v>0</v>
      </c>
      <c r="L121" s="61">
        <f>K121*係数!$H$30</f>
        <v>0</v>
      </c>
      <c r="M121" s="61">
        <f>K121*係数!$C$30*0.0000258</f>
        <v>0</v>
      </c>
      <c r="N121" s="12"/>
      <c r="O121" s="3"/>
      <c r="P121" s="3"/>
      <c r="Q121" s="84" t="s">
        <v>382</v>
      </c>
      <c r="R121" s="3"/>
      <c r="S121" s="488">
        <f t="shared" si="9"/>
        <v>0</v>
      </c>
      <c r="T121" s="8">
        <f t="shared" si="10"/>
        <v>0</v>
      </c>
      <c r="U121" s="61">
        <f>T121*係数!$H$30</f>
        <v>0</v>
      </c>
      <c r="V121" s="61">
        <f>T121*係数!$C$30*0.0000258</f>
        <v>0</v>
      </c>
      <c r="W121" s="8">
        <f t="shared" si="11"/>
        <v>0</v>
      </c>
      <c r="X121" s="272">
        <f t="shared" si="12"/>
        <v>0</v>
      </c>
      <c r="Y121" s="489">
        <f t="shared" si="13"/>
        <v>0</v>
      </c>
    </row>
    <row r="122" spans="2:25">
      <c r="B122" s="100" t="s">
        <v>448</v>
      </c>
      <c r="C122" s="12"/>
      <c r="D122" s="3"/>
      <c r="E122" s="77"/>
      <c r="F122" s="62"/>
      <c r="G122" s="62"/>
      <c r="H122" s="84" t="s">
        <v>382</v>
      </c>
      <c r="I122" s="3"/>
      <c r="J122" s="60">
        <f t="shared" si="14"/>
        <v>0</v>
      </c>
      <c r="K122" s="60">
        <f t="shared" si="8"/>
        <v>0</v>
      </c>
      <c r="L122" s="61">
        <f>K122*係数!$H$30</f>
        <v>0</v>
      </c>
      <c r="M122" s="61">
        <f>K122*係数!$C$30*0.0000258</f>
        <v>0</v>
      </c>
      <c r="N122" s="12"/>
      <c r="O122" s="3"/>
      <c r="P122" s="3"/>
      <c r="Q122" s="84" t="s">
        <v>382</v>
      </c>
      <c r="R122" s="3"/>
      <c r="S122" s="488">
        <f t="shared" si="9"/>
        <v>0</v>
      </c>
      <c r="T122" s="8">
        <f t="shared" si="10"/>
        <v>0</v>
      </c>
      <c r="U122" s="61">
        <f>T122*係数!$H$30</f>
        <v>0</v>
      </c>
      <c r="V122" s="61">
        <f>T122*係数!$C$30*0.0000258</f>
        <v>0</v>
      </c>
      <c r="W122" s="8">
        <f t="shared" si="11"/>
        <v>0</v>
      </c>
      <c r="X122" s="272">
        <f t="shared" si="12"/>
        <v>0</v>
      </c>
      <c r="Y122" s="489">
        <f t="shared" si="13"/>
        <v>0</v>
      </c>
    </row>
    <row r="123" spans="2:25">
      <c r="B123" s="100" t="s">
        <v>449</v>
      </c>
      <c r="C123" s="12"/>
      <c r="D123" s="3"/>
      <c r="E123" s="77"/>
      <c r="F123" s="62"/>
      <c r="G123" s="62"/>
      <c r="H123" s="84" t="s">
        <v>382</v>
      </c>
      <c r="I123" s="3"/>
      <c r="J123" s="60">
        <f t="shared" si="14"/>
        <v>0</v>
      </c>
      <c r="K123" s="60">
        <f t="shared" si="8"/>
        <v>0</v>
      </c>
      <c r="L123" s="61">
        <f>K123*係数!$H$30</f>
        <v>0</v>
      </c>
      <c r="M123" s="61">
        <f>K123*係数!$C$30*0.0000258</f>
        <v>0</v>
      </c>
      <c r="N123" s="12"/>
      <c r="O123" s="3"/>
      <c r="P123" s="3"/>
      <c r="Q123" s="84" t="s">
        <v>382</v>
      </c>
      <c r="R123" s="3"/>
      <c r="S123" s="488">
        <f t="shared" si="9"/>
        <v>0</v>
      </c>
      <c r="T123" s="8">
        <f t="shared" si="10"/>
        <v>0</v>
      </c>
      <c r="U123" s="61">
        <f>T123*係数!$H$30</f>
        <v>0</v>
      </c>
      <c r="V123" s="61">
        <f>T123*係数!$C$30*0.0000258</f>
        <v>0</v>
      </c>
      <c r="W123" s="8">
        <f t="shared" si="11"/>
        <v>0</v>
      </c>
      <c r="X123" s="272">
        <f t="shared" si="12"/>
        <v>0</v>
      </c>
      <c r="Y123" s="489">
        <f t="shared" si="13"/>
        <v>0</v>
      </c>
    </row>
    <row r="124" spans="2:25">
      <c r="B124" s="100" t="s">
        <v>450</v>
      </c>
      <c r="C124" s="12"/>
      <c r="D124" s="3"/>
      <c r="E124" s="77"/>
      <c r="F124" s="62"/>
      <c r="G124" s="62"/>
      <c r="H124" s="84" t="s">
        <v>382</v>
      </c>
      <c r="I124" s="3"/>
      <c r="J124" s="60">
        <f t="shared" si="14"/>
        <v>0</v>
      </c>
      <c r="K124" s="60">
        <f t="shared" si="8"/>
        <v>0</v>
      </c>
      <c r="L124" s="61">
        <f>K124*係数!$H$30</f>
        <v>0</v>
      </c>
      <c r="M124" s="61">
        <f>K124*係数!$C$30*0.0000258</f>
        <v>0</v>
      </c>
      <c r="N124" s="12"/>
      <c r="O124" s="3"/>
      <c r="P124" s="3"/>
      <c r="Q124" s="84" t="s">
        <v>382</v>
      </c>
      <c r="R124" s="3"/>
      <c r="S124" s="488">
        <f t="shared" si="9"/>
        <v>0</v>
      </c>
      <c r="T124" s="8">
        <f t="shared" si="10"/>
        <v>0</v>
      </c>
      <c r="U124" s="61">
        <f>T124*係数!$H$30</f>
        <v>0</v>
      </c>
      <c r="V124" s="61">
        <f>T124*係数!$C$30*0.0000258</f>
        <v>0</v>
      </c>
      <c r="W124" s="8">
        <f t="shared" si="11"/>
        <v>0</v>
      </c>
      <c r="X124" s="272">
        <f t="shared" si="12"/>
        <v>0</v>
      </c>
      <c r="Y124" s="489">
        <f t="shared" si="13"/>
        <v>0</v>
      </c>
    </row>
    <row r="125" spans="2:25">
      <c r="B125" s="100" t="s">
        <v>451</v>
      </c>
      <c r="C125" s="12"/>
      <c r="D125" s="3"/>
      <c r="E125" s="77"/>
      <c r="F125" s="62"/>
      <c r="G125" s="62"/>
      <c r="H125" s="84" t="s">
        <v>382</v>
      </c>
      <c r="I125" s="3"/>
      <c r="J125" s="60">
        <f t="shared" si="14"/>
        <v>0</v>
      </c>
      <c r="K125" s="60">
        <f t="shared" si="8"/>
        <v>0</v>
      </c>
      <c r="L125" s="61">
        <f>K125*係数!$H$30</f>
        <v>0</v>
      </c>
      <c r="M125" s="61">
        <f>K125*係数!$C$30*0.0000258</f>
        <v>0</v>
      </c>
      <c r="N125" s="12"/>
      <c r="O125" s="3"/>
      <c r="P125" s="3"/>
      <c r="Q125" s="84" t="s">
        <v>382</v>
      </c>
      <c r="R125" s="3"/>
      <c r="S125" s="488">
        <f t="shared" si="9"/>
        <v>0</v>
      </c>
      <c r="T125" s="8">
        <f t="shared" si="10"/>
        <v>0</v>
      </c>
      <c r="U125" s="61">
        <f>T125*係数!$H$30</f>
        <v>0</v>
      </c>
      <c r="V125" s="61">
        <f>T125*係数!$C$30*0.0000258</f>
        <v>0</v>
      </c>
      <c r="W125" s="8">
        <f t="shared" si="11"/>
        <v>0</v>
      </c>
      <c r="X125" s="272">
        <f t="shared" si="12"/>
        <v>0</v>
      </c>
      <c r="Y125" s="489">
        <f t="shared" si="13"/>
        <v>0</v>
      </c>
    </row>
    <row r="126" spans="2:25">
      <c r="B126" s="100" t="s">
        <v>452</v>
      </c>
      <c r="C126" s="12"/>
      <c r="D126" s="3"/>
      <c r="E126" s="77"/>
      <c r="F126" s="62"/>
      <c r="G126" s="62"/>
      <c r="H126" s="84" t="s">
        <v>382</v>
      </c>
      <c r="I126" s="3"/>
      <c r="J126" s="60">
        <f t="shared" si="14"/>
        <v>0</v>
      </c>
      <c r="K126" s="60">
        <f t="shared" si="8"/>
        <v>0</v>
      </c>
      <c r="L126" s="61">
        <f>K126*係数!$H$30</f>
        <v>0</v>
      </c>
      <c r="M126" s="61">
        <f>K126*係数!$C$30*0.0000258</f>
        <v>0</v>
      </c>
      <c r="N126" s="12"/>
      <c r="O126" s="3"/>
      <c r="P126" s="3"/>
      <c r="Q126" s="84" t="s">
        <v>382</v>
      </c>
      <c r="R126" s="3"/>
      <c r="S126" s="488">
        <f t="shared" si="9"/>
        <v>0</v>
      </c>
      <c r="T126" s="8">
        <f t="shared" si="10"/>
        <v>0</v>
      </c>
      <c r="U126" s="61">
        <f>T126*係数!$H$30</f>
        <v>0</v>
      </c>
      <c r="V126" s="61">
        <f>T126*係数!$C$30*0.0000258</f>
        <v>0</v>
      </c>
      <c r="W126" s="8">
        <f t="shared" si="11"/>
        <v>0</v>
      </c>
      <c r="X126" s="272">
        <f t="shared" si="12"/>
        <v>0</v>
      </c>
      <c r="Y126" s="489">
        <f t="shared" si="13"/>
        <v>0</v>
      </c>
    </row>
    <row r="127" spans="2:25">
      <c r="B127" s="100" t="s">
        <v>453</v>
      </c>
      <c r="C127" s="12"/>
      <c r="D127" s="3"/>
      <c r="E127" s="77"/>
      <c r="F127" s="62"/>
      <c r="G127" s="62"/>
      <c r="H127" s="84" t="s">
        <v>382</v>
      </c>
      <c r="I127" s="3"/>
      <c r="J127" s="60">
        <f t="shared" si="14"/>
        <v>0</v>
      </c>
      <c r="K127" s="60">
        <f t="shared" si="8"/>
        <v>0</v>
      </c>
      <c r="L127" s="61">
        <f>K127*係数!$H$30</f>
        <v>0</v>
      </c>
      <c r="M127" s="61">
        <f>K127*係数!$C$30*0.0000258</f>
        <v>0</v>
      </c>
      <c r="N127" s="12"/>
      <c r="O127" s="3"/>
      <c r="P127" s="3"/>
      <c r="Q127" s="84" t="s">
        <v>382</v>
      </c>
      <c r="R127" s="3"/>
      <c r="S127" s="488">
        <f t="shared" si="9"/>
        <v>0</v>
      </c>
      <c r="T127" s="8">
        <f t="shared" si="10"/>
        <v>0</v>
      </c>
      <c r="U127" s="61">
        <f>T127*係数!$H$30</f>
        <v>0</v>
      </c>
      <c r="V127" s="61">
        <f>T127*係数!$C$30*0.0000258</f>
        <v>0</v>
      </c>
      <c r="W127" s="8">
        <f t="shared" si="11"/>
        <v>0</v>
      </c>
      <c r="X127" s="272">
        <f t="shared" si="12"/>
        <v>0</v>
      </c>
      <c r="Y127" s="489">
        <f t="shared" si="13"/>
        <v>0</v>
      </c>
    </row>
    <row r="128" spans="2:25">
      <c r="B128" s="100" t="s">
        <v>454</v>
      </c>
      <c r="C128" s="12"/>
      <c r="D128" s="3"/>
      <c r="E128" s="77"/>
      <c r="F128" s="62"/>
      <c r="G128" s="62"/>
      <c r="H128" s="84" t="s">
        <v>382</v>
      </c>
      <c r="I128" s="3"/>
      <c r="J128" s="60">
        <f t="shared" si="14"/>
        <v>0</v>
      </c>
      <c r="K128" s="60">
        <f t="shared" si="8"/>
        <v>0</v>
      </c>
      <c r="L128" s="61">
        <f>K128*係数!$H$30</f>
        <v>0</v>
      </c>
      <c r="M128" s="61">
        <f>K128*係数!$C$30*0.0000258</f>
        <v>0</v>
      </c>
      <c r="N128" s="12"/>
      <c r="O128" s="3"/>
      <c r="P128" s="3"/>
      <c r="Q128" s="84" t="s">
        <v>382</v>
      </c>
      <c r="R128" s="3"/>
      <c r="S128" s="488">
        <f t="shared" si="9"/>
        <v>0</v>
      </c>
      <c r="T128" s="8">
        <f t="shared" si="10"/>
        <v>0</v>
      </c>
      <c r="U128" s="61">
        <f>T128*係数!$H$30</f>
        <v>0</v>
      </c>
      <c r="V128" s="61">
        <f>T128*係数!$C$30*0.0000258</f>
        <v>0</v>
      </c>
      <c r="W128" s="8">
        <f t="shared" si="11"/>
        <v>0</v>
      </c>
      <c r="X128" s="272">
        <f t="shared" si="12"/>
        <v>0</v>
      </c>
      <c r="Y128" s="489">
        <f t="shared" si="13"/>
        <v>0</v>
      </c>
    </row>
    <row r="129" spans="2:25">
      <c r="B129" s="100" t="s">
        <v>455</v>
      </c>
      <c r="C129" s="12"/>
      <c r="D129" s="3"/>
      <c r="E129" s="77"/>
      <c r="F129" s="62"/>
      <c r="G129" s="62"/>
      <c r="H129" s="84" t="s">
        <v>382</v>
      </c>
      <c r="I129" s="3"/>
      <c r="J129" s="60">
        <f t="shared" si="14"/>
        <v>0</v>
      </c>
      <c r="K129" s="60">
        <f t="shared" si="8"/>
        <v>0</v>
      </c>
      <c r="L129" s="61">
        <f>K129*係数!$H$30</f>
        <v>0</v>
      </c>
      <c r="M129" s="61">
        <f>K129*係数!$C$30*0.0000258</f>
        <v>0</v>
      </c>
      <c r="N129" s="12"/>
      <c r="O129" s="3"/>
      <c r="P129" s="3"/>
      <c r="Q129" s="84" t="s">
        <v>382</v>
      </c>
      <c r="R129" s="3"/>
      <c r="S129" s="488">
        <f t="shared" si="9"/>
        <v>0</v>
      </c>
      <c r="T129" s="8">
        <f t="shared" si="10"/>
        <v>0</v>
      </c>
      <c r="U129" s="61">
        <f>T129*係数!$H$30</f>
        <v>0</v>
      </c>
      <c r="V129" s="61">
        <f>T129*係数!$C$30*0.0000258</f>
        <v>0</v>
      </c>
      <c r="W129" s="8">
        <f t="shared" si="11"/>
        <v>0</v>
      </c>
      <c r="X129" s="272">
        <f t="shared" si="12"/>
        <v>0</v>
      </c>
      <c r="Y129" s="489">
        <f t="shared" si="13"/>
        <v>0</v>
      </c>
    </row>
    <row r="130" spans="2:25">
      <c r="B130" s="100" t="s">
        <v>456</v>
      </c>
      <c r="C130" s="12"/>
      <c r="D130" s="3"/>
      <c r="E130" s="77"/>
      <c r="F130" s="62"/>
      <c r="G130" s="62"/>
      <c r="H130" s="84" t="s">
        <v>382</v>
      </c>
      <c r="I130" s="3"/>
      <c r="J130" s="60">
        <f t="shared" si="14"/>
        <v>0</v>
      </c>
      <c r="K130" s="60">
        <f t="shared" si="8"/>
        <v>0</v>
      </c>
      <c r="L130" s="61">
        <f>K130*係数!$H$30</f>
        <v>0</v>
      </c>
      <c r="M130" s="61">
        <f>K130*係数!$C$30*0.0000258</f>
        <v>0</v>
      </c>
      <c r="N130" s="12"/>
      <c r="O130" s="3"/>
      <c r="P130" s="3"/>
      <c r="Q130" s="84" t="s">
        <v>382</v>
      </c>
      <c r="R130" s="3"/>
      <c r="S130" s="488">
        <f t="shared" si="9"/>
        <v>0</v>
      </c>
      <c r="T130" s="8">
        <f t="shared" si="10"/>
        <v>0</v>
      </c>
      <c r="U130" s="61">
        <f>T130*係数!$H$30</f>
        <v>0</v>
      </c>
      <c r="V130" s="61">
        <f>T130*係数!$C$30*0.0000258</f>
        <v>0</v>
      </c>
      <c r="W130" s="8">
        <f t="shared" si="11"/>
        <v>0</v>
      </c>
      <c r="X130" s="272">
        <f t="shared" si="12"/>
        <v>0</v>
      </c>
      <c r="Y130" s="489">
        <f t="shared" si="13"/>
        <v>0</v>
      </c>
    </row>
    <row r="131" spans="2:25">
      <c r="B131" s="100" t="s">
        <v>457</v>
      </c>
      <c r="C131" s="12"/>
      <c r="D131" s="3"/>
      <c r="E131" s="77"/>
      <c r="F131" s="62"/>
      <c r="G131" s="62"/>
      <c r="H131" s="84" t="s">
        <v>382</v>
      </c>
      <c r="I131" s="3"/>
      <c r="J131" s="60">
        <f t="shared" si="14"/>
        <v>0</v>
      </c>
      <c r="K131" s="60">
        <f t="shared" si="8"/>
        <v>0</v>
      </c>
      <c r="L131" s="61">
        <f>K131*係数!$H$30</f>
        <v>0</v>
      </c>
      <c r="M131" s="61">
        <f>K131*係数!$C$30*0.0000258</f>
        <v>0</v>
      </c>
      <c r="N131" s="12"/>
      <c r="O131" s="3"/>
      <c r="P131" s="3"/>
      <c r="Q131" s="84" t="s">
        <v>382</v>
      </c>
      <c r="R131" s="3"/>
      <c r="S131" s="488">
        <f t="shared" si="9"/>
        <v>0</v>
      </c>
      <c r="T131" s="8">
        <f t="shared" si="10"/>
        <v>0</v>
      </c>
      <c r="U131" s="61">
        <f>T131*係数!$H$30</f>
        <v>0</v>
      </c>
      <c r="V131" s="61">
        <f>T131*係数!$C$30*0.0000258</f>
        <v>0</v>
      </c>
      <c r="W131" s="8">
        <f t="shared" si="11"/>
        <v>0</v>
      </c>
      <c r="X131" s="272">
        <f t="shared" si="12"/>
        <v>0</v>
      </c>
      <c r="Y131" s="489">
        <f t="shared" si="13"/>
        <v>0</v>
      </c>
    </row>
    <row r="132" spans="2:25">
      <c r="B132" s="100" t="s">
        <v>458</v>
      </c>
      <c r="C132" s="12"/>
      <c r="D132" s="3"/>
      <c r="E132" s="77"/>
      <c r="F132" s="62"/>
      <c r="G132" s="62"/>
      <c r="H132" s="84" t="s">
        <v>382</v>
      </c>
      <c r="I132" s="3"/>
      <c r="J132" s="60">
        <f t="shared" si="14"/>
        <v>0</v>
      </c>
      <c r="K132" s="60">
        <f t="shared" si="8"/>
        <v>0</v>
      </c>
      <c r="L132" s="61">
        <f>K132*係数!$H$30</f>
        <v>0</v>
      </c>
      <c r="M132" s="61">
        <f>K132*係数!$C$30*0.0000258</f>
        <v>0</v>
      </c>
      <c r="N132" s="12"/>
      <c r="O132" s="3"/>
      <c r="P132" s="3"/>
      <c r="Q132" s="84" t="s">
        <v>382</v>
      </c>
      <c r="R132" s="3"/>
      <c r="S132" s="488">
        <f t="shared" si="9"/>
        <v>0</v>
      </c>
      <c r="T132" s="8">
        <f t="shared" si="10"/>
        <v>0</v>
      </c>
      <c r="U132" s="61">
        <f>T132*係数!$H$30</f>
        <v>0</v>
      </c>
      <c r="V132" s="61">
        <f>T132*係数!$C$30*0.0000258</f>
        <v>0</v>
      </c>
      <c r="W132" s="8">
        <f t="shared" si="11"/>
        <v>0</v>
      </c>
      <c r="X132" s="272">
        <f t="shared" si="12"/>
        <v>0</v>
      </c>
      <c r="Y132" s="489">
        <f t="shared" si="13"/>
        <v>0</v>
      </c>
    </row>
    <row r="133" spans="2:25">
      <c r="B133" s="100" t="s">
        <v>459</v>
      </c>
      <c r="C133" s="12"/>
      <c r="D133" s="3"/>
      <c r="E133" s="77"/>
      <c r="F133" s="62"/>
      <c r="G133" s="62"/>
      <c r="H133" s="84" t="s">
        <v>382</v>
      </c>
      <c r="I133" s="3"/>
      <c r="J133" s="60">
        <f t="shared" si="14"/>
        <v>0</v>
      </c>
      <c r="K133" s="60">
        <f t="shared" si="8"/>
        <v>0</v>
      </c>
      <c r="L133" s="61">
        <f>K133*係数!$H$30</f>
        <v>0</v>
      </c>
      <c r="M133" s="61">
        <f>K133*係数!$C$30*0.0000258</f>
        <v>0</v>
      </c>
      <c r="N133" s="12"/>
      <c r="O133" s="3"/>
      <c r="P133" s="3"/>
      <c r="Q133" s="84" t="s">
        <v>382</v>
      </c>
      <c r="R133" s="3"/>
      <c r="S133" s="488">
        <f t="shared" si="9"/>
        <v>0</v>
      </c>
      <c r="T133" s="8">
        <f t="shared" si="10"/>
        <v>0</v>
      </c>
      <c r="U133" s="61">
        <f>T133*係数!$H$30</f>
        <v>0</v>
      </c>
      <c r="V133" s="61">
        <f>T133*係数!$C$30*0.0000258</f>
        <v>0</v>
      </c>
      <c r="W133" s="8">
        <f t="shared" si="11"/>
        <v>0</v>
      </c>
      <c r="X133" s="272">
        <f t="shared" si="12"/>
        <v>0</v>
      </c>
      <c r="Y133" s="489">
        <f t="shared" si="13"/>
        <v>0</v>
      </c>
    </row>
    <row r="134" spans="2:25">
      <c r="B134" s="100" t="s">
        <v>460</v>
      </c>
      <c r="C134" s="12"/>
      <c r="D134" s="3"/>
      <c r="E134" s="77"/>
      <c r="F134" s="62"/>
      <c r="G134" s="62"/>
      <c r="H134" s="84" t="s">
        <v>382</v>
      </c>
      <c r="I134" s="3"/>
      <c r="J134" s="60">
        <f t="shared" si="14"/>
        <v>0</v>
      </c>
      <c r="K134" s="60">
        <f t="shared" si="8"/>
        <v>0</v>
      </c>
      <c r="L134" s="61">
        <f>K134*係数!$H$30</f>
        <v>0</v>
      </c>
      <c r="M134" s="61">
        <f>K134*係数!$C$30*0.0000258</f>
        <v>0</v>
      </c>
      <c r="N134" s="12"/>
      <c r="O134" s="3"/>
      <c r="P134" s="3"/>
      <c r="Q134" s="84" t="s">
        <v>382</v>
      </c>
      <c r="R134" s="3"/>
      <c r="S134" s="488">
        <f t="shared" si="9"/>
        <v>0</v>
      </c>
      <c r="T134" s="8">
        <f t="shared" si="10"/>
        <v>0</v>
      </c>
      <c r="U134" s="61">
        <f>T134*係数!$H$30</f>
        <v>0</v>
      </c>
      <c r="V134" s="61">
        <f>T134*係数!$C$30*0.0000258</f>
        <v>0</v>
      </c>
      <c r="W134" s="8">
        <f t="shared" si="11"/>
        <v>0</v>
      </c>
      <c r="X134" s="272">
        <f t="shared" si="12"/>
        <v>0</v>
      </c>
      <c r="Y134" s="489">
        <f t="shared" si="13"/>
        <v>0</v>
      </c>
    </row>
    <row r="135" spans="2:25">
      <c r="B135" s="100" t="s">
        <v>461</v>
      </c>
      <c r="C135" s="12"/>
      <c r="D135" s="3"/>
      <c r="E135" s="77"/>
      <c r="F135" s="62"/>
      <c r="G135" s="62"/>
      <c r="H135" s="84" t="s">
        <v>382</v>
      </c>
      <c r="I135" s="3"/>
      <c r="J135" s="60">
        <f t="shared" si="14"/>
        <v>0</v>
      </c>
      <c r="K135" s="60">
        <f t="shared" si="8"/>
        <v>0</v>
      </c>
      <c r="L135" s="61">
        <f>K135*係数!$H$30</f>
        <v>0</v>
      </c>
      <c r="M135" s="61">
        <f>K135*係数!$C$30*0.0000258</f>
        <v>0</v>
      </c>
      <c r="N135" s="12"/>
      <c r="O135" s="3"/>
      <c r="P135" s="3"/>
      <c r="Q135" s="84" t="s">
        <v>382</v>
      </c>
      <c r="R135" s="3"/>
      <c r="S135" s="488">
        <f t="shared" si="9"/>
        <v>0</v>
      </c>
      <c r="T135" s="8">
        <f t="shared" si="10"/>
        <v>0</v>
      </c>
      <c r="U135" s="61">
        <f>T135*係数!$H$30</f>
        <v>0</v>
      </c>
      <c r="V135" s="61">
        <f>T135*係数!$C$30*0.0000258</f>
        <v>0</v>
      </c>
      <c r="W135" s="8">
        <f t="shared" si="11"/>
        <v>0</v>
      </c>
      <c r="X135" s="272">
        <f t="shared" si="12"/>
        <v>0</v>
      </c>
      <c r="Y135" s="489">
        <f t="shared" si="13"/>
        <v>0</v>
      </c>
    </row>
    <row r="136" spans="2:25">
      <c r="B136" s="100" t="s">
        <v>462</v>
      </c>
      <c r="C136" s="12"/>
      <c r="D136" s="3"/>
      <c r="E136" s="77"/>
      <c r="F136" s="62"/>
      <c r="G136" s="62"/>
      <c r="H136" s="84" t="s">
        <v>382</v>
      </c>
      <c r="I136" s="3"/>
      <c r="J136" s="60">
        <f t="shared" si="14"/>
        <v>0</v>
      </c>
      <c r="K136" s="60">
        <f t="shared" si="8"/>
        <v>0</v>
      </c>
      <c r="L136" s="61">
        <f>K136*係数!$H$30</f>
        <v>0</v>
      </c>
      <c r="M136" s="61">
        <f>K136*係数!$C$30*0.0000258</f>
        <v>0</v>
      </c>
      <c r="N136" s="12"/>
      <c r="O136" s="3"/>
      <c r="P136" s="3"/>
      <c r="Q136" s="84" t="s">
        <v>382</v>
      </c>
      <c r="R136" s="3"/>
      <c r="S136" s="488">
        <f t="shared" si="9"/>
        <v>0</v>
      </c>
      <c r="T136" s="8">
        <f t="shared" si="10"/>
        <v>0</v>
      </c>
      <c r="U136" s="61">
        <f>T136*係数!$H$30</f>
        <v>0</v>
      </c>
      <c r="V136" s="61">
        <f>T136*係数!$C$30*0.0000258</f>
        <v>0</v>
      </c>
      <c r="W136" s="8">
        <f t="shared" si="11"/>
        <v>0</v>
      </c>
      <c r="X136" s="272">
        <f t="shared" si="12"/>
        <v>0</v>
      </c>
      <c r="Y136" s="489">
        <f t="shared" si="13"/>
        <v>0</v>
      </c>
    </row>
    <row r="137" spans="2:25">
      <c r="B137" s="100" t="s">
        <v>463</v>
      </c>
      <c r="C137" s="12"/>
      <c r="D137" s="3"/>
      <c r="E137" s="77"/>
      <c r="F137" s="62"/>
      <c r="G137" s="62"/>
      <c r="H137" s="84" t="s">
        <v>382</v>
      </c>
      <c r="I137" s="3"/>
      <c r="J137" s="60">
        <f t="shared" si="14"/>
        <v>0</v>
      </c>
      <c r="K137" s="60">
        <f t="shared" si="8"/>
        <v>0</v>
      </c>
      <c r="L137" s="61">
        <f>K137*係数!$H$30</f>
        <v>0</v>
      </c>
      <c r="M137" s="61">
        <f>K137*係数!$C$30*0.0000258</f>
        <v>0</v>
      </c>
      <c r="N137" s="12"/>
      <c r="O137" s="3"/>
      <c r="P137" s="3"/>
      <c r="Q137" s="84" t="s">
        <v>382</v>
      </c>
      <c r="R137" s="3"/>
      <c r="S137" s="488">
        <f t="shared" si="9"/>
        <v>0</v>
      </c>
      <c r="T137" s="8">
        <f t="shared" si="10"/>
        <v>0</v>
      </c>
      <c r="U137" s="61">
        <f>T137*係数!$H$30</f>
        <v>0</v>
      </c>
      <c r="V137" s="61">
        <f>T137*係数!$C$30*0.0000258</f>
        <v>0</v>
      </c>
      <c r="W137" s="8">
        <f t="shared" si="11"/>
        <v>0</v>
      </c>
      <c r="X137" s="272">
        <f t="shared" si="12"/>
        <v>0</v>
      </c>
      <c r="Y137" s="489">
        <f t="shared" si="13"/>
        <v>0</v>
      </c>
    </row>
    <row r="138" spans="2:25">
      <c r="B138" s="100" t="s">
        <v>464</v>
      </c>
      <c r="C138" s="12"/>
      <c r="D138" s="3"/>
      <c r="E138" s="77"/>
      <c r="F138" s="62"/>
      <c r="G138" s="62"/>
      <c r="H138" s="84" t="s">
        <v>382</v>
      </c>
      <c r="I138" s="3"/>
      <c r="J138" s="60">
        <f t="shared" si="14"/>
        <v>0</v>
      </c>
      <c r="K138" s="60">
        <f t="shared" si="8"/>
        <v>0</v>
      </c>
      <c r="L138" s="61">
        <f>K138*係数!$H$30</f>
        <v>0</v>
      </c>
      <c r="M138" s="61">
        <f>K138*係数!$C$30*0.0000258</f>
        <v>0</v>
      </c>
      <c r="N138" s="12"/>
      <c r="O138" s="3"/>
      <c r="P138" s="3"/>
      <c r="Q138" s="84" t="s">
        <v>382</v>
      </c>
      <c r="R138" s="3"/>
      <c r="S138" s="488">
        <f t="shared" si="9"/>
        <v>0</v>
      </c>
      <c r="T138" s="8">
        <f t="shared" si="10"/>
        <v>0</v>
      </c>
      <c r="U138" s="61">
        <f>T138*係数!$H$30</f>
        <v>0</v>
      </c>
      <c r="V138" s="61">
        <f>T138*係数!$C$30*0.0000258</f>
        <v>0</v>
      </c>
      <c r="W138" s="8">
        <f t="shared" si="11"/>
        <v>0</v>
      </c>
      <c r="X138" s="272">
        <f t="shared" si="12"/>
        <v>0</v>
      </c>
      <c r="Y138" s="489">
        <f t="shared" si="13"/>
        <v>0</v>
      </c>
    </row>
    <row r="139" spans="2:25">
      <c r="B139" s="100" t="s">
        <v>465</v>
      </c>
      <c r="C139" s="12"/>
      <c r="D139" s="3"/>
      <c r="E139" s="77"/>
      <c r="F139" s="62"/>
      <c r="G139" s="62"/>
      <c r="H139" s="84" t="s">
        <v>382</v>
      </c>
      <c r="I139" s="3"/>
      <c r="J139" s="60">
        <f t="shared" si="14"/>
        <v>0</v>
      </c>
      <c r="K139" s="60">
        <f t="shared" si="8"/>
        <v>0</v>
      </c>
      <c r="L139" s="61">
        <f>K139*係数!$H$30</f>
        <v>0</v>
      </c>
      <c r="M139" s="61">
        <f>K139*係数!$C$30*0.0000258</f>
        <v>0</v>
      </c>
      <c r="N139" s="12"/>
      <c r="O139" s="3"/>
      <c r="P139" s="3"/>
      <c r="Q139" s="84" t="s">
        <v>382</v>
      </c>
      <c r="R139" s="3"/>
      <c r="S139" s="488">
        <f t="shared" si="9"/>
        <v>0</v>
      </c>
      <c r="T139" s="8">
        <f t="shared" si="10"/>
        <v>0</v>
      </c>
      <c r="U139" s="61">
        <f>T139*係数!$H$30</f>
        <v>0</v>
      </c>
      <c r="V139" s="61">
        <f>T139*係数!$C$30*0.0000258</f>
        <v>0</v>
      </c>
      <c r="W139" s="8">
        <f t="shared" si="11"/>
        <v>0</v>
      </c>
      <c r="X139" s="272">
        <f t="shared" si="12"/>
        <v>0</v>
      </c>
      <c r="Y139" s="489">
        <f t="shared" si="13"/>
        <v>0</v>
      </c>
    </row>
    <row r="140" spans="2:25">
      <c r="B140" s="100" t="s">
        <v>466</v>
      </c>
      <c r="C140" s="12"/>
      <c r="D140" s="3"/>
      <c r="E140" s="77"/>
      <c r="F140" s="62"/>
      <c r="G140" s="62"/>
      <c r="H140" s="84" t="s">
        <v>382</v>
      </c>
      <c r="I140" s="3"/>
      <c r="J140" s="60">
        <f t="shared" si="14"/>
        <v>0</v>
      </c>
      <c r="K140" s="60">
        <f t="shared" si="8"/>
        <v>0</v>
      </c>
      <c r="L140" s="61">
        <f>K140*係数!$H$30</f>
        <v>0</v>
      </c>
      <c r="M140" s="61">
        <f>K140*係数!$C$30*0.0000258</f>
        <v>0</v>
      </c>
      <c r="N140" s="12"/>
      <c r="O140" s="3"/>
      <c r="P140" s="3"/>
      <c r="Q140" s="84" t="s">
        <v>382</v>
      </c>
      <c r="R140" s="3"/>
      <c r="S140" s="488">
        <f t="shared" si="9"/>
        <v>0</v>
      </c>
      <c r="T140" s="8">
        <f t="shared" si="10"/>
        <v>0</v>
      </c>
      <c r="U140" s="61">
        <f>T140*係数!$H$30</f>
        <v>0</v>
      </c>
      <c r="V140" s="61">
        <f>T140*係数!$C$30*0.0000258</f>
        <v>0</v>
      </c>
      <c r="W140" s="8">
        <f t="shared" si="11"/>
        <v>0</v>
      </c>
      <c r="X140" s="272">
        <f t="shared" si="12"/>
        <v>0</v>
      </c>
      <c r="Y140" s="489">
        <f t="shared" si="13"/>
        <v>0</v>
      </c>
    </row>
    <row r="141" spans="2:25">
      <c r="B141" s="100" t="s">
        <v>467</v>
      </c>
      <c r="C141" s="12"/>
      <c r="D141" s="3"/>
      <c r="E141" s="77"/>
      <c r="F141" s="62"/>
      <c r="G141" s="62"/>
      <c r="H141" s="84" t="s">
        <v>382</v>
      </c>
      <c r="I141" s="3"/>
      <c r="J141" s="60">
        <f t="shared" si="14"/>
        <v>0</v>
      </c>
      <c r="K141" s="60">
        <f t="shared" si="8"/>
        <v>0</v>
      </c>
      <c r="L141" s="61">
        <f>K141*係数!$H$30</f>
        <v>0</v>
      </c>
      <c r="M141" s="61">
        <f>K141*係数!$C$30*0.0000258</f>
        <v>0</v>
      </c>
      <c r="N141" s="12"/>
      <c r="O141" s="3"/>
      <c r="P141" s="3"/>
      <c r="Q141" s="84" t="s">
        <v>382</v>
      </c>
      <c r="R141" s="3"/>
      <c r="S141" s="488">
        <f t="shared" si="9"/>
        <v>0</v>
      </c>
      <c r="T141" s="8">
        <f t="shared" si="10"/>
        <v>0</v>
      </c>
      <c r="U141" s="61">
        <f>T141*係数!$H$30</f>
        <v>0</v>
      </c>
      <c r="V141" s="61">
        <f>T141*係数!$C$30*0.0000258</f>
        <v>0</v>
      </c>
      <c r="W141" s="8">
        <f t="shared" si="11"/>
        <v>0</v>
      </c>
      <c r="X141" s="272">
        <f t="shared" si="12"/>
        <v>0</v>
      </c>
      <c r="Y141" s="489">
        <f t="shared" si="13"/>
        <v>0</v>
      </c>
    </row>
    <row r="142" spans="2:25">
      <c r="B142" s="100" t="s">
        <v>468</v>
      </c>
      <c r="C142" s="12"/>
      <c r="D142" s="3"/>
      <c r="E142" s="77"/>
      <c r="F142" s="62"/>
      <c r="G142" s="62"/>
      <c r="H142" s="84" t="s">
        <v>382</v>
      </c>
      <c r="I142" s="3"/>
      <c r="J142" s="60">
        <f t="shared" si="14"/>
        <v>0</v>
      </c>
      <c r="K142" s="60">
        <f t="shared" si="8"/>
        <v>0</v>
      </c>
      <c r="L142" s="61">
        <f>K142*係数!$H$30</f>
        <v>0</v>
      </c>
      <c r="M142" s="61">
        <f>K142*係数!$C$30*0.0000258</f>
        <v>0</v>
      </c>
      <c r="N142" s="12"/>
      <c r="O142" s="3"/>
      <c r="P142" s="3"/>
      <c r="Q142" s="84" t="s">
        <v>382</v>
      </c>
      <c r="R142" s="3"/>
      <c r="S142" s="488">
        <f t="shared" si="9"/>
        <v>0</v>
      </c>
      <c r="T142" s="8">
        <f t="shared" si="10"/>
        <v>0</v>
      </c>
      <c r="U142" s="61">
        <f>T142*係数!$H$30</f>
        <v>0</v>
      </c>
      <c r="V142" s="61">
        <f>T142*係数!$C$30*0.0000258</f>
        <v>0</v>
      </c>
      <c r="W142" s="8">
        <f t="shared" si="11"/>
        <v>0</v>
      </c>
      <c r="X142" s="272">
        <f t="shared" si="12"/>
        <v>0</v>
      </c>
      <c r="Y142" s="489">
        <f t="shared" si="13"/>
        <v>0</v>
      </c>
    </row>
    <row r="143" spans="2:25">
      <c r="B143" s="100" t="s">
        <v>469</v>
      </c>
      <c r="C143" s="12"/>
      <c r="D143" s="3"/>
      <c r="E143" s="77"/>
      <c r="F143" s="62"/>
      <c r="G143" s="62"/>
      <c r="H143" s="84" t="s">
        <v>382</v>
      </c>
      <c r="I143" s="3"/>
      <c r="J143" s="60">
        <f t="shared" si="14"/>
        <v>0</v>
      </c>
      <c r="K143" s="60">
        <f t="shared" si="8"/>
        <v>0</v>
      </c>
      <c r="L143" s="61">
        <f>K143*係数!$H$30</f>
        <v>0</v>
      </c>
      <c r="M143" s="61">
        <f>K143*係数!$C$30*0.0000258</f>
        <v>0</v>
      </c>
      <c r="N143" s="12"/>
      <c r="O143" s="3"/>
      <c r="P143" s="3"/>
      <c r="Q143" s="84" t="s">
        <v>382</v>
      </c>
      <c r="R143" s="3"/>
      <c r="S143" s="488">
        <f t="shared" si="9"/>
        <v>0</v>
      </c>
      <c r="T143" s="8">
        <f t="shared" si="10"/>
        <v>0</v>
      </c>
      <c r="U143" s="61">
        <f>T143*係数!$H$30</f>
        <v>0</v>
      </c>
      <c r="V143" s="61">
        <f>T143*係数!$C$30*0.0000258</f>
        <v>0</v>
      </c>
      <c r="W143" s="8">
        <f t="shared" si="11"/>
        <v>0</v>
      </c>
      <c r="X143" s="272">
        <f t="shared" si="12"/>
        <v>0</v>
      </c>
      <c r="Y143" s="489">
        <f t="shared" si="13"/>
        <v>0</v>
      </c>
    </row>
    <row r="144" spans="2:25">
      <c r="B144" s="100" t="s">
        <v>470</v>
      </c>
      <c r="C144" s="12"/>
      <c r="D144" s="3"/>
      <c r="E144" s="77"/>
      <c r="F144" s="62"/>
      <c r="G144" s="62"/>
      <c r="H144" s="84" t="s">
        <v>382</v>
      </c>
      <c r="I144" s="3"/>
      <c r="J144" s="60">
        <f t="shared" si="14"/>
        <v>0</v>
      </c>
      <c r="K144" s="60">
        <f t="shared" si="8"/>
        <v>0</v>
      </c>
      <c r="L144" s="61">
        <f>K144*係数!$H$30</f>
        <v>0</v>
      </c>
      <c r="M144" s="61">
        <f>K144*係数!$C$30*0.0000258</f>
        <v>0</v>
      </c>
      <c r="N144" s="12"/>
      <c r="O144" s="3"/>
      <c r="P144" s="3"/>
      <c r="Q144" s="84" t="s">
        <v>382</v>
      </c>
      <c r="R144" s="3"/>
      <c r="S144" s="488">
        <f t="shared" si="9"/>
        <v>0</v>
      </c>
      <c r="T144" s="8">
        <f t="shared" si="10"/>
        <v>0</v>
      </c>
      <c r="U144" s="61">
        <f>T144*係数!$H$30</f>
        <v>0</v>
      </c>
      <c r="V144" s="61">
        <f>T144*係数!$C$30*0.0000258</f>
        <v>0</v>
      </c>
      <c r="W144" s="8">
        <f t="shared" si="11"/>
        <v>0</v>
      </c>
      <c r="X144" s="272">
        <f t="shared" si="12"/>
        <v>0</v>
      </c>
      <c r="Y144" s="489">
        <f t="shared" si="13"/>
        <v>0</v>
      </c>
    </row>
    <row r="145" spans="2:25">
      <c r="B145" s="100" t="s">
        <v>471</v>
      </c>
      <c r="C145" s="12"/>
      <c r="D145" s="3"/>
      <c r="E145" s="77"/>
      <c r="F145" s="62"/>
      <c r="G145" s="62"/>
      <c r="H145" s="84" t="s">
        <v>382</v>
      </c>
      <c r="I145" s="3"/>
      <c r="J145" s="60">
        <f t="shared" si="14"/>
        <v>0</v>
      </c>
      <c r="K145" s="60">
        <f t="shared" si="8"/>
        <v>0</v>
      </c>
      <c r="L145" s="61">
        <f>K145*係数!$H$30</f>
        <v>0</v>
      </c>
      <c r="M145" s="61">
        <f>K145*係数!$C$30*0.0000258</f>
        <v>0</v>
      </c>
      <c r="N145" s="12"/>
      <c r="O145" s="3"/>
      <c r="P145" s="3"/>
      <c r="Q145" s="84" t="s">
        <v>382</v>
      </c>
      <c r="R145" s="3"/>
      <c r="S145" s="488">
        <f t="shared" si="9"/>
        <v>0</v>
      </c>
      <c r="T145" s="8">
        <f t="shared" si="10"/>
        <v>0</v>
      </c>
      <c r="U145" s="61">
        <f>T145*係数!$H$30</f>
        <v>0</v>
      </c>
      <c r="V145" s="61">
        <f>T145*係数!$C$30*0.0000258</f>
        <v>0</v>
      </c>
      <c r="W145" s="8">
        <f t="shared" si="11"/>
        <v>0</v>
      </c>
      <c r="X145" s="272">
        <f t="shared" si="12"/>
        <v>0</v>
      </c>
      <c r="Y145" s="489">
        <f t="shared" si="13"/>
        <v>0</v>
      </c>
    </row>
    <row r="146" spans="2:25">
      <c r="B146" s="100" t="s">
        <v>472</v>
      </c>
      <c r="C146" s="12"/>
      <c r="D146" s="3"/>
      <c r="E146" s="77"/>
      <c r="F146" s="62"/>
      <c r="G146" s="62"/>
      <c r="H146" s="84" t="s">
        <v>382</v>
      </c>
      <c r="I146" s="3"/>
      <c r="J146" s="60">
        <f t="shared" si="14"/>
        <v>0</v>
      </c>
      <c r="K146" s="60">
        <f t="shared" si="8"/>
        <v>0</v>
      </c>
      <c r="L146" s="61">
        <f>K146*係数!$H$30</f>
        <v>0</v>
      </c>
      <c r="M146" s="61">
        <f>K146*係数!$C$30*0.0000258</f>
        <v>0</v>
      </c>
      <c r="N146" s="12"/>
      <c r="O146" s="3"/>
      <c r="P146" s="3"/>
      <c r="Q146" s="84" t="s">
        <v>382</v>
      </c>
      <c r="R146" s="3"/>
      <c r="S146" s="488">
        <f t="shared" si="9"/>
        <v>0</v>
      </c>
      <c r="T146" s="8">
        <f t="shared" si="10"/>
        <v>0</v>
      </c>
      <c r="U146" s="61">
        <f>T146*係数!$H$30</f>
        <v>0</v>
      </c>
      <c r="V146" s="61">
        <f>T146*係数!$C$30*0.0000258</f>
        <v>0</v>
      </c>
      <c r="W146" s="8">
        <f t="shared" si="11"/>
        <v>0</v>
      </c>
      <c r="X146" s="272">
        <f t="shared" si="12"/>
        <v>0</v>
      </c>
      <c r="Y146" s="489">
        <f t="shared" si="13"/>
        <v>0</v>
      </c>
    </row>
    <row r="147" spans="2:25">
      <c r="B147" s="100" t="s">
        <v>473</v>
      </c>
      <c r="C147" s="12"/>
      <c r="D147" s="3"/>
      <c r="E147" s="77"/>
      <c r="F147" s="62"/>
      <c r="G147" s="62"/>
      <c r="H147" s="84" t="s">
        <v>382</v>
      </c>
      <c r="I147" s="3"/>
      <c r="J147" s="60">
        <f t="shared" si="14"/>
        <v>0</v>
      </c>
      <c r="K147" s="60">
        <f t="shared" si="8"/>
        <v>0</v>
      </c>
      <c r="L147" s="61">
        <f>K147*係数!$H$30</f>
        <v>0</v>
      </c>
      <c r="M147" s="61">
        <f>K147*係数!$C$30*0.0000258</f>
        <v>0</v>
      </c>
      <c r="N147" s="12"/>
      <c r="O147" s="3"/>
      <c r="P147" s="3"/>
      <c r="Q147" s="84" t="s">
        <v>382</v>
      </c>
      <c r="R147" s="3"/>
      <c r="S147" s="488">
        <f t="shared" si="9"/>
        <v>0</v>
      </c>
      <c r="T147" s="8">
        <f t="shared" si="10"/>
        <v>0</v>
      </c>
      <c r="U147" s="61">
        <f>T147*係数!$H$30</f>
        <v>0</v>
      </c>
      <c r="V147" s="61">
        <f>T147*係数!$C$30*0.0000258</f>
        <v>0</v>
      </c>
      <c r="W147" s="8">
        <f t="shared" si="11"/>
        <v>0</v>
      </c>
      <c r="X147" s="272">
        <f t="shared" si="12"/>
        <v>0</v>
      </c>
      <c r="Y147" s="489">
        <f t="shared" si="13"/>
        <v>0</v>
      </c>
    </row>
    <row r="148" spans="2:25">
      <c r="B148" s="100" t="s">
        <v>474</v>
      </c>
      <c r="C148" s="12"/>
      <c r="D148" s="3"/>
      <c r="E148" s="77"/>
      <c r="F148" s="62"/>
      <c r="G148" s="62"/>
      <c r="H148" s="84" t="s">
        <v>382</v>
      </c>
      <c r="I148" s="3"/>
      <c r="J148" s="60">
        <f t="shared" si="14"/>
        <v>0</v>
      </c>
      <c r="K148" s="60">
        <f t="shared" ref="K148:K211" si="15">E148*D148*J148/1000</f>
        <v>0</v>
      </c>
      <c r="L148" s="61">
        <f>K148*係数!$H$30</f>
        <v>0</v>
      </c>
      <c r="M148" s="61">
        <f>K148*係数!$C$30*0.0000258</f>
        <v>0</v>
      </c>
      <c r="N148" s="12"/>
      <c r="O148" s="3"/>
      <c r="P148" s="3"/>
      <c r="Q148" s="84" t="s">
        <v>382</v>
      </c>
      <c r="R148" s="3"/>
      <c r="S148" s="488">
        <f t="shared" ref="S148:S211" si="16">IF(Q148="○",F148*G148*R148/100,F148*G148)</f>
        <v>0</v>
      </c>
      <c r="T148" s="8">
        <f t="shared" ref="T148:T211" si="17">P148*O148*S148/1000</f>
        <v>0</v>
      </c>
      <c r="U148" s="61">
        <f>T148*係数!$H$30</f>
        <v>0</v>
      </c>
      <c r="V148" s="61">
        <f>T148*係数!$C$30*0.0000258</f>
        <v>0</v>
      </c>
      <c r="W148" s="8">
        <f t="shared" ref="W148:W211" si="18">K148-T148</f>
        <v>0</v>
      </c>
      <c r="X148" s="272">
        <f t="shared" ref="X148:X211" si="19">L148-U148</f>
        <v>0</v>
      </c>
      <c r="Y148" s="489">
        <f t="shared" ref="Y148:Y211" si="20">M148-V148</f>
        <v>0</v>
      </c>
    </row>
    <row r="149" spans="2:25">
      <c r="B149" s="100" t="s">
        <v>475</v>
      </c>
      <c r="C149" s="12"/>
      <c r="D149" s="3"/>
      <c r="E149" s="77"/>
      <c r="F149" s="62"/>
      <c r="G149" s="62"/>
      <c r="H149" s="84" t="s">
        <v>382</v>
      </c>
      <c r="I149" s="3"/>
      <c r="J149" s="60">
        <f t="shared" ref="J149:J212" si="21">IF(H149="○",F149*G149*I149/100,F149*G149)</f>
        <v>0</v>
      </c>
      <c r="K149" s="60">
        <f t="shared" si="15"/>
        <v>0</v>
      </c>
      <c r="L149" s="61">
        <f>K149*係数!$H$30</f>
        <v>0</v>
      </c>
      <c r="M149" s="61">
        <f>K149*係数!$C$30*0.0000258</f>
        <v>0</v>
      </c>
      <c r="N149" s="12"/>
      <c r="O149" s="3"/>
      <c r="P149" s="3"/>
      <c r="Q149" s="84" t="s">
        <v>382</v>
      </c>
      <c r="R149" s="3"/>
      <c r="S149" s="488">
        <f t="shared" si="16"/>
        <v>0</v>
      </c>
      <c r="T149" s="8">
        <f t="shared" si="17"/>
        <v>0</v>
      </c>
      <c r="U149" s="61">
        <f>T149*係数!$H$30</f>
        <v>0</v>
      </c>
      <c r="V149" s="61">
        <f>T149*係数!$C$30*0.0000258</f>
        <v>0</v>
      </c>
      <c r="W149" s="8">
        <f t="shared" si="18"/>
        <v>0</v>
      </c>
      <c r="X149" s="272">
        <f t="shared" si="19"/>
        <v>0</v>
      </c>
      <c r="Y149" s="489">
        <f t="shared" si="20"/>
        <v>0</v>
      </c>
    </row>
    <row r="150" spans="2:25">
      <c r="B150" s="100" t="s">
        <v>476</v>
      </c>
      <c r="C150" s="12"/>
      <c r="D150" s="3"/>
      <c r="E150" s="77"/>
      <c r="F150" s="62"/>
      <c r="G150" s="62"/>
      <c r="H150" s="84" t="s">
        <v>382</v>
      </c>
      <c r="I150" s="3"/>
      <c r="J150" s="60">
        <f t="shared" si="21"/>
        <v>0</v>
      </c>
      <c r="K150" s="60">
        <f t="shared" si="15"/>
        <v>0</v>
      </c>
      <c r="L150" s="61">
        <f>K150*係数!$H$30</f>
        <v>0</v>
      </c>
      <c r="M150" s="61">
        <f>K150*係数!$C$30*0.0000258</f>
        <v>0</v>
      </c>
      <c r="N150" s="12"/>
      <c r="O150" s="3"/>
      <c r="P150" s="3"/>
      <c r="Q150" s="84" t="s">
        <v>382</v>
      </c>
      <c r="R150" s="3"/>
      <c r="S150" s="488">
        <f t="shared" si="16"/>
        <v>0</v>
      </c>
      <c r="T150" s="8">
        <f t="shared" si="17"/>
        <v>0</v>
      </c>
      <c r="U150" s="61">
        <f>T150*係数!$H$30</f>
        <v>0</v>
      </c>
      <c r="V150" s="61">
        <f>T150*係数!$C$30*0.0000258</f>
        <v>0</v>
      </c>
      <c r="W150" s="8">
        <f t="shared" si="18"/>
        <v>0</v>
      </c>
      <c r="X150" s="272">
        <f t="shared" si="19"/>
        <v>0</v>
      </c>
      <c r="Y150" s="489">
        <f t="shared" si="20"/>
        <v>0</v>
      </c>
    </row>
    <row r="151" spans="2:25">
      <c r="B151" s="100" t="s">
        <v>477</v>
      </c>
      <c r="C151" s="12"/>
      <c r="D151" s="3"/>
      <c r="E151" s="77"/>
      <c r="F151" s="62"/>
      <c r="G151" s="62"/>
      <c r="H151" s="84" t="s">
        <v>382</v>
      </c>
      <c r="I151" s="3"/>
      <c r="J151" s="60">
        <f t="shared" si="21"/>
        <v>0</v>
      </c>
      <c r="K151" s="60">
        <f t="shared" si="15"/>
        <v>0</v>
      </c>
      <c r="L151" s="61">
        <f>K151*係数!$H$30</f>
        <v>0</v>
      </c>
      <c r="M151" s="61">
        <f>K151*係数!$C$30*0.0000258</f>
        <v>0</v>
      </c>
      <c r="N151" s="12"/>
      <c r="O151" s="3"/>
      <c r="P151" s="3"/>
      <c r="Q151" s="84" t="s">
        <v>382</v>
      </c>
      <c r="R151" s="3"/>
      <c r="S151" s="488">
        <f t="shared" si="16"/>
        <v>0</v>
      </c>
      <c r="T151" s="8">
        <f t="shared" si="17"/>
        <v>0</v>
      </c>
      <c r="U151" s="61">
        <f>T151*係数!$H$30</f>
        <v>0</v>
      </c>
      <c r="V151" s="61">
        <f>T151*係数!$C$30*0.0000258</f>
        <v>0</v>
      </c>
      <c r="W151" s="8">
        <f t="shared" si="18"/>
        <v>0</v>
      </c>
      <c r="X151" s="272">
        <f t="shared" si="19"/>
        <v>0</v>
      </c>
      <c r="Y151" s="489">
        <f t="shared" si="20"/>
        <v>0</v>
      </c>
    </row>
    <row r="152" spans="2:25">
      <c r="B152" s="100" t="s">
        <v>478</v>
      </c>
      <c r="C152" s="12"/>
      <c r="D152" s="3"/>
      <c r="E152" s="77"/>
      <c r="F152" s="62"/>
      <c r="G152" s="62"/>
      <c r="H152" s="84" t="s">
        <v>382</v>
      </c>
      <c r="I152" s="3"/>
      <c r="J152" s="60">
        <f t="shared" si="21"/>
        <v>0</v>
      </c>
      <c r="K152" s="60">
        <f t="shared" si="15"/>
        <v>0</v>
      </c>
      <c r="L152" s="61">
        <f>K152*係数!$H$30</f>
        <v>0</v>
      </c>
      <c r="M152" s="61">
        <f>K152*係数!$C$30*0.0000258</f>
        <v>0</v>
      </c>
      <c r="N152" s="12"/>
      <c r="O152" s="3"/>
      <c r="P152" s="3"/>
      <c r="Q152" s="84" t="s">
        <v>382</v>
      </c>
      <c r="R152" s="3"/>
      <c r="S152" s="488">
        <f t="shared" si="16"/>
        <v>0</v>
      </c>
      <c r="T152" s="8">
        <f t="shared" si="17"/>
        <v>0</v>
      </c>
      <c r="U152" s="61">
        <f>T152*係数!$H$30</f>
        <v>0</v>
      </c>
      <c r="V152" s="61">
        <f>T152*係数!$C$30*0.0000258</f>
        <v>0</v>
      </c>
      <c r="W152" s="8">
        <f t="shared" si="18"/>
        <v>0</v>
      </c>
      <c r="X152" s="272">
        <f t="shared" si="19"/>
        <v>0</v>
      </c>
      <c r="Y152" s="489">
        <f t="shared" si="20"/>
        <v>0</v>
      </c>
    </row>
    <row r="153" spans="2:25">
      <c r="B153" s="100" t="s">
        <v>479</v>
      </c>
      <c r="C153" s="12"/>
      <c r="D153" s="3"/>
      <c r="E153" s="77"/>
      <c r="F153" s="62"/>
      <c r="G153" s="62"/>
      <c r="H153" s="84" t="s">
        <v>382</v>
      </c>
      <c r="I153" s="3"/>
      <c r="J153" s="60">
        <f t="shared" si="21"/>
        <v>0</v>
      </c>
      <c r="K153" s="60">
        <f t="shared" si="15"/>
        <v>0</v>
      </c>
      <c r="L153" s="61">
        <f>K153*係数!$H$30</f>
        <v>0</v>
      </c>
      <c r="M153" s="61">
        <f>K153*係数!$C$30*0.0000258</f>
        <v>0</v>
      </c>
      <c r="N153" s="12"/>
      <c r="O153" s="3"/>
      <c r="P153" s="3"/>
      <c r="Q153" s="84" t="s">
        <v>382</v>
      </c>
      <c r="R153" s="3"/>
      <c r="S153" s="488">
        <f t="shared" si="16"/>
        <v>0</v>
      </c>
      <c r="T153" s="8">
        <f t="shared" si="17"/>
        <v>0</v>
      </c>
      <c r="U153" s="61">
        <f>T153*係数!$H$30</f>
        <v>0</v>
      </c>
      <c r="V153" s="61">
        <f>T153*係数!$C$30*0.0000258</f>
        <v>0</v>
      </c>
      <c r="W153" s="8">
        <f t="shared" si="18"/>
        <v>0</v>
      </c>
      <c r="X153" s="272">
        <f t="shared" si="19"/>
        <v>0</v>
      </c>
      <c r="Y153" s="489">
        <f t="shared" si="20"/>
        <v>0</v>
      </c>
    </row>
    <row r="154" spans="2:25">
      <c r="B154" s="100" t="s">
        <v>480</v>
      </c>
      <c r="C154" s="12"/>
      <c r="D154" s="3"/>
      <c r="E154" s="77"/>
      <c r="F154" s="62"/>
      <c r="G154" s="62"/>
      <c r="H154" s="84" t="s">
        <v>382</v>
      </c>
      <c r="I154" s="3"/>
      <c r="J154" s="60">
        <f t="shared" si="21"/>
        <v>0</v>
      </c>
      <c r="K154" s="60">
        <f t="shared" si="15"/>
        <v>0</v>
      </c>
      <c r="L154" s="61">
        <f>K154*係数!$H$30</f>
        <v>0</v>
      </c>
      <c r="M154" s="61">
        <f>K154*係数!$C$30*0.0000258</f>
        <v>0</v>
      </c>
      <c r="N154" s="12"/>
      <c r="O154" s="3"/>
      <c r="P154" s="3"/>
      <c r="Q154" s="84" t="s">
        <v>382</v>
      </c>
      <c r="R154" s="3"/>
      <c r="S154" s="488">
        <f t="shared" si="16"/>
        <v>0</v>
      </c>
      <c r="T154" s="8">
        <f t="shared" si="17"/>
        <v>0</v>
      </c>
      <c r="U154" s="61">
        <f>T154*係数!$H$30</f>
        <v>0</v>
      </c>
      <c r="V154" s="61">
        <f>T154*係数!$C$30*0.0000258</f>
        <v>0</v>
      </c>
      <c r="W154" s="8">
        <f t="shared" si="18"/>
        <v>0</v>
      </c>
      <c r="X154" s="272">
        <f t="shared" si="19"/>
        <v>0</v>
      </c>
      <c r="Y154" s="489">
        <f t="shared" si="20"/>
        <v>0</v>
      </c>
    </row>
    <row r="155" spans="2:25">
      <c r="B155" s="100" t="s">
        <v>481</v>
      </c>
      <c r="C155" s="12"/>
      <c r="D155" s="3"/>
      <c r="E155" s="77"/>
      <c r="F155" s="62"/>
      <c r="G155" s="62"/>
      <c r="H155" s="84" t="s">
        <v>382</v>
      </c>
      <c r="I155" s="3"/>
      <c r="J155" s="60">
        <f t="shared" si="21"/>
        <v>0</v>
      </c>
      <c r="K155" s="60">
        <f t="shared" si="15"/>
        <v>0</v>
      </c>
      <c r="L155" s="61">
        <f>K155*係数!$H$30</f>
        <v>0</v>
      </c>
      <c r="M155" s="61">
        <f>K155*係数!$C$30*0.0000258</f>
        <v>0</v>
      </c>
      <c r="N155" s="12"/>
      <c r="O155" s="3"/>
      <c r="P155" s="3"/>
      <c r="Q155" s="84" t="s">
        <v>382</v>
      </c>
      <c r="R155" s="3"/>
      <c r="S155" s="488">
        <f t="shared" si="16"/>
        <v>0</v>
      </c>
      <c r="T155" s="8">
        <f t="shared" si="17"/>
        <v>0</v>
      </c>
      <c r="U155" s="61">
        <f>T155*係数!$H$30</f>
        <v>0</v>
      </c>
      <c r="V155" s="61">
        <f>T155*係数!$C$30*0.0000258</f>
        <v>0</v>
      </c>
      <c r="W155" s="8">
        <f t="shared" si="18"/>
        <v>0</v>
      </c>
      <c r="X155" s="272">
        <f t="shared" si="19"/>
        <v>0</v>
      </c>
      <c r="Y155" s="489">
        <f t="shared" si="20"/>
        <v>0</v>
      </c>
    </row>
    <row r="156" spans="2:25">
      <c r="B156" s="100" t="s">
        <v>482</v>
      </c>
      <c r="C156" s="12"/>
      <c r="D156" s="3"/>
      <c r="E156" s="77"/>
      <c r="F156" s="62"/>
      <c r="G156" s="62"/>
      <c r="H156" s="84" t="s">
        <v>382</v>
      </c>
      <c r="I156" s="3"/>
      <c r="J156" s="60">
        <f t="shared" si="21"/>
        <v>0</v>
      </c>
      <c r="K156" s="60">
        <f t="shared" si="15"/>
        <v>0</v>
      </c>
      <c r="L156" s="61">
        <f>K156*係数!$H$30</f>
        <v>0</v>
      </c>
      <c r="M156" s="61">
        <f>K156*係数!$C$30*0.0000258</f>
        <v>0</v>
      </c>
      <c r="N156" s="12"/>
      <c r="O156" s="3"/>
      <c r="P156" s="3"/>
      <c r="Q156" s="84" t="s">
        <v>382</v>
      </c>
      <c r="R156" s="3"/>
      <c r="S156" s="488">
        <f t="shared" si="16"/>
        <v>0</v>
      </c>
      <c r="T156" s="8">
        <f t="shared" si="17"/>
        <v>0</v>
      </c>
      <c r="U156" s="61">
        <f>T156*係数!$H$30</f>
        <v>0</v>
      </c>
      <c r="V156" s="61">
        <f>T156*係数!$C$30*0.0000258</f>
        <v>0</v>
      </c>
      <c r="W156" s="8">
        <f t="shared" si="18"/>
        <v>0</v>
      </c>
      <c r="X156" s="272">
        <f t="shared" si="19"/>
        <v>0</v>
      </c>
      <c r="Y156" s="489">
        <f t="shared" si="20"/>
        <v>0</v>
      </c>
    </row>
    <row r="157" spans="2:25">
      <c r="B157" s="100" t="s">
        <v>483</v>
      </c>
      <c r="C157" s="12"/>
      <c r="D157" s="3"/>
      <c r="E157" s="77"/>
      <c r="F157" s="62"/>
      <c r="G157" s="62"/>
      <c r="H157" s="84" t="s">
        <v>382</v>
      </c>
      <c r="I157" s="3"/>
      <c r="J157" s="60">
        <f t="shared" si="21"/>
        <v>0</v>
      </c>
      <c r="K157" s="60">
        <f t="shared" si="15"/>
        <v>0</v>
      </c>
      <c r="L157" s="61">
        <f>K157*係数!$H$30</f>
        <v>0</v>
      </c>
      <c r="M157" s="61">
        <f>K157*係数!$C$30*0.0000258</f>
        <v>0</v>
      </c>
      <c r="N157" s="12"/>
      <c r="O157" s="3"/>
      <c r="P157" s="3"/>
      <c r="Q157" s="84" t="s">
        <v>382</v>
      </c>
      <c r="R157" s="3"/>
      <c r="S157" s="488">
        <f t="shared" si="16"/>
        <v>0</v>
      </c>
      <c r="T157" s="8">
        <f t="shared" si="17"/>
        <v>0</v>
      </c>
      <c r="U157" s="61">
        <f>T157*係数!$H$30</f>
        <v>0</v>
      </c>
      <c r="V157" s="61">
        <f>T157*係数!$C$30*0.0000258</f>
        <v>0</v>
      </c>
      <c r="W157" s="8">
        <f t="shared" si="18"/>
        <v>0</v>
      </c>
      <c r="X157" s="272">
        <f t="shared" si="19"/>
        <v>0</v>
      </c>
      <c r="Y157" s="489">
        <f t="shared" si="20"/>
        <v>0</v>
      </c>
    </row>
    <row r="158" spans="2:25">
      <c r="B158" s="100" t="s">
        <v>484</v>
      </c>
      <c r="C158" s="12"/>
      <c r="D158" s="3"/>
      <c r="E158" s="77"/>
      <c r="F158" s="62"/>
      <c r="G158" s="62"/>
      <c r="H158" s="84" t="s">
        <v>382</v>
      </c>
      <c r="I158" s="3"/>
      <c r="J158" s="60">
        <f t="shared" si="21"/>
        <v>0</v>
      </c>
      <c r="K158" s="60">
        <f t="shared" si="15"/>
        <v>0</v>
      </c>
      <c r="L158" s="61">
        <f>K158*係数!$H$30</f>
        <v>0</v>
      </c>
      <c r="M158" s="61">
        <f>K158*係数!$C$30*0.0000258</f>
        <v>0</v>
      </c>
      <c r="N158" s="12"/>
      <c r="O158" s="3"/>
      <c r="P158" s="3"/>
      <c r="Q158" s="84" t="s">
        <v>382</v>
      </c>
      <c r="R158" s="3"/>
      <c r="S158" s="488">
        <f t="shared" si="16"/>
        <v>0</v>
      </c>
      <c r="T158" s="8">
        <f t="shared" si="17"/>
        <v>0</v>
      </c>
      <c r="U158" s="61">
        <f>T158*係数!$H$30</f>
        <v>0</v>
      </c>
      <c r="V158" s="61">
        <f>T158*係数!$C$30*0.0000258</f>
        <v>0</v>
      </c>
      <c r="W158" s="8">
        <f t="shared" si="18"/>
        <v>0</v>
      </c>
      <c r="X158" s="272">
        <f t="shared" si="19"/>
        <v>0</v>
      </c>
      <c r="Y158" s="489">
        <f t="shared" si="20"/>
        <v>0</v>
      </c>
    </row>
    <row r="159" spans="2:25">
      <c r="B159" s="100" t="s">
        <v>485</v>
      </c>
      <c r="C159" s="12"/>
      <c r="D159" s="3"/>
      <c r="E159" s="77"/>
      <c r="F159" s="62"/>
      <c r="G159" s="62"/>
      <c r="H159" s="84" t="s">
        <v>382</v>
      </c>
      <c r="I159" s="3"/>
      <c r="J159" s="60">
        <f t="shared" si="21"/>
        <v>0</v>
      </c>
      <c r="K159" s="60">
        <f t="shared" si="15"/>
        <v>0</v>
      </c>
      <c r="L159" s="61">
        <f>K159*係数!$H$30</f>
        <v>0</v>
      </c>
      <c r="M159" s="61">
        <f>K159*係数!$C$30*0.0000258</f>
        <v>0</v>
      </c>
      <c r="N159" s="12"/>
      <c r="O159" s="3"/>
      <c r="P159" s="3"/>
      <c r="Q159" s="84" t="s">
        <v>382</v>
      </c>
      <c r="R159" s="3"/>
      <c r="S159" s="488">
        <f t="shared" si="16"/>
        <v>0</v>
      </c>
      <c r="T159" s="8">
        <f t="shared" si="17"/>
        <v>0</v>
      </c>
      <c r="U159" s="61">
        <f>T159*係数!$H$30</f>
        <v>0</v>
      </c>
      <c r="V159" s="61">
        <f>T159*係数!$C$30*0.0000258</f>
        <v>0</v>
      </c>
      <c r="W159" s="8">
        <f t="shared" si="18"/>
        <v>0</v>
      </c>
      <c r="X159" s="272">
        <f t="shared" si="19"/>
        <v>0</v>
      </c>
      <c r="Y159" s="489">
        <f t="shared" si="20"/>
        <v>0</v>
      </c>
    </row>
    <row r="160" spans="2:25">
      <c r="B160" s="100" t="s">
        <v>486</v>
      </c>
      <c r="C160" s="12"/>
      <c r="D160" s="3"/>
      <c r="E160" s="77"/>
      <c r="F160" s="62"/>
      <c r="G160" s="62"/>
      <c r="H160" s="84" t="s">
        <v>382</v>
      </c>
      <c r="I160" s="3"/>
      <c r="J160" s="60">
        <f t="shared" si="21"/>
        <v>0</v>
      </c>
      <c r="K160" s="60">
        <f t="shared" si="15"/>
        <v>0</v>
      </c>
      <c r="L160" s="61">
        <f>K160*係数!$H$30</f>
        <v>0</v>
      </c>
      <c r="M160" s="61">
        <f>K160*係数!$C$30*0.0000258</f>
        <v>0</v>
      </c>
      <c r="N160" s="12"/>
      <c r="O160" s="3"/>
      <c r="P160" s="3"/>
      <c r="Q160" s="84" t="s">
        <v>382</v>
      </c>
      <c r="R160" s="3"/>
      <c r="S160" s="488">
        <f t="shared" si="16"/>
        <v>0</v>
      </c>
      <c r="T160" s="8">
        <f t="shared" si="17"/>
        <v>0</v>
      </c>
      <c r="U160" s="61">
        <f>T160*係数!$H$30</f>
        <v>0</v>
      </c>
      <c r="V160" s="61">
        <f>T160*係数!$C$30*0.0000258</f>
        <v>0</v>
      </c>
      <c r="W160" s="8">
        <f t="shared" si="18"/>
        <v>0</v>
      </c>
      <c r="X160" s="272">
        <f t="shared" si="19"/>
        <v>0</v>
      </c>
      <c r="Y160" s="489">
        <f t="shared" si="20"/>
        <v>0</v>
      </c>
    </row>
    <row r="161" spans="2:25">
      <c r="B161" s="100" t="s">
        <v>487</v>
      </c>
      <c r="C161" s="12"/>
      <c r="D161" s="3"/>
      <c r="E161" s="77"/>
      <c r="F161" s="62"/>
      <c r="G161" s="62"/>
      <c r="H161" s="84" t="s">
        <v>382</v>
      </c>
      <c r="I161" s="3"/>
      <c r="J161" s="60">
        <f t="shared" si="21"/>
        <v>0</v>
      </c>
      <c r="K161" s="60">
        <f t="shared" si="15"/>
        <v>0</v>
      </c>
      <c r="L161" s="61">
        <f>K161*係数!$H$30</f>
        <v>0</v>
      </c>
      <c r="M161" s="61">
        <f>K161*係数!$C$30*0.0000258</f>
        <v>0</v>
      </c>
      <c r="N161" s="12"/>
      <c r="O161" s="3"/>
      <c r="P161" s="3"/>
      <c r="Q161" s="84" t="s">
        <v>382</v>
      </c>
      <c r="R161" s="3"/>
      <c r="S161" s="488">
        <f t="shared" si="16"/>
        <v>0</v>
      </c>
      <c r="T161" s="8">
        <f t="shared" si="17"/>
        <v>0</v>
      </c>
      <c r="U161" s="61">
        <f>T161*係数!$H$30</f>
        <v>0</v>
      </c>
      <c r="V161" s="61">
        <f>T161*係数!$C$30*0.0000258</f>
        <v>0</v>
      </c>
      <c r="W161" s="8">
        <f t="shared" si="18"/>
        <v>0</v>
      </c>
      <c r="X161" s="272">
        <f t="shared" si="19"/>
        <v>0</v>
      </c>
      <c r="Y161" s="489">
        <f t="shared" si="20"/>
        <v>0</v>
      </c>
    </row>
    <row r="162" spans="2:25">
      <c r="B162" s="100" t="s">
        <v>488</v>
      </c>
      <c r="C162" s="12"/>
      <c r="D162" s="3"/>
      <c r="E162" s="77"/>
      <c r="F162" s="62"/>
      <c r="G162" s="62"/>
      <c r="H162" s="84" t="s">
        <v>382</v>
      </c>
      <c r="I162" s="3"/>
      <c r="J162" s="60">
        <f t="shared" si="21"/>
        <v>0</v>
      </c>
      <c r="K162" s="60">
        <f t="shared" si="15"/>
        <v>0</v>
      </c>
      <c r="L162" s="61">
        <f>K162*係数!$H$30</f>
        <v>0</v>
      </c>
      <c r="M162" s="61">
        <f>K162*係数!$C$30*0.0000258</f>
        <v>0</v>
      </c>
      <c r="N162" s="12"/>
      <c r="O162" s="3"/>
      <c r="P162" s="3"/>
      <c r="Q162" s="84" t="s">
        <v>382</v>
      </c>
      <c r="R162" s="3"/>
      <c r="S162" s="488">
        <f t="shared" si="16"/>
        <v>0</v>
      </c>
      <c r="T162" s="8">
        <f t="shared" si="17"/>
        <v>0</v>
      </c>
      <c r="U162" s="61">
        <f>T162*係数!$H$30</f>
        <v>0</v>
      </c>
      <c r="V162" s="61">
        <f>T162*係数!$C$30*0.0000258</f>
        <v>0</v>
      </c>
      <c r="W162" s="8">
        <f t="shared" si="18"/>
        <v>0</v>
      </c>
      <c r="X162" s="272">
        <f t="shared" si="19"/>
        <v>0</v>
      </c>
      <c r="Y162" s="489">
        <f t="shared" si="20"/>
        <v>0</v>
      </c>
    </row>
    <row r="163" spans="2:25">
      <c r="B163" s="100" t="s">
        <v>489</v>
      </c>
      <c r="C163" s="12"/>
      <c r="D163" s="3"/>
      <c r="E163" s="77"/>
      <c r="F163" s="62"/>
      <c r="G163" s="62"/>
      <c r="H163" s="84" t="s">
        <v>382</v>
      </c>
      <c r="I163" s="3"/>
      <c r="J163" s="60">
        <f t="shared" si="21"/>
        <v>0</v>
      </c>
      <c r="K163" s="60">
        <f t="shared" si="15"/>
        <v>0</v>
      </c>
      <c r="L163" s="61">
        <f>K163*係数!$H$30</f>
        <v>0</v>
      </c>
      <c r="M163" s="61">
        <f>K163*係数!$C$30*0.0000258</f>
        <v>0</v>
      </c>
      <c r="N163" s="12"/>
      <c r="O163" s="3"/>
      <c r="P163" s="3"/>
      <c r="Q163" s="84" t="s">
        <v>382</v>
      </c>
      <c r="R163" s="3"/>
      <c r="S163" s="488">
        <f t="shared" si="16"/>
        <v>0</v>
      </c>
      <c r="T163" s="8">
        <f t="shared" si="17"/>
        <v>0</v>
      </c>
      <c r="U163" s="61">
        <f>T163*係数!$H$30</f>
        <v>0</v>
      </c>
      <c r="V163" s="61">
        <f>T163*係数!$C$30*0.0000258</f>
        <v>0</v>
      </c>
      <c r="W163" s="8">
        <f t="shared" si="18"/>
        <v>0</v>
      </c>
      <c r="X163" s="272">
        <f t="shared" si="19"/>
        <v>0</v>
      </c>
      <c r="Y163" s="489">
        <f t="shared" si="20"/>
        <v>0</v>
      </c>
    </row>
    <row r="164" spans="2:25">
      <c r="B164" s="100" t="s">
        <v>490</v>
      </c>
      <c r="C164" s="12"/>
      <c r="D164" s="3"/>
      <c r="E164" s="77"/>
      <c r="F164" s="62"/>
      <c r="G164" s="62"/>
      <c r="H164" s="84" t="s">
        <v>382</v>
      </c>
      <c r="I164" s="3"/>
      <c r="J164" s="60">
        <f t="shared" si="21"/>
        <v>0</v>
      </c>
      <c r="K164" s="60">
        <f t="shared" si="15"/>
        <v>0</v>
      </c>
      <c r="L164" s="61">
        <f>K164*係数!$H$30</f>
        <v>0</v>
      </c>
      <c r="M164" s="61">
        <f>K164*係数!$C$30*0.0000258</f>
        <v>0</v>
      </c>
      <c r="N164" s="12"/>
      <c r="O164" s="3"/>
      <c r="P164" s="3"/>
      <c r="Q164" s="84" t="s">
        <v>382</v>
      </c>
      <c r="R164" s="3"/>
      <c r="S164" s="488">
        <f t="shared" si="16"/>
        <v>0</v>
      </c>
      <c r="T164" s="8">
        <f t="shared" si="17"/>
        <v>0</v>
      </c>
      <c r="U164" s="61">
        <f>T164*係数!$H$30</f>
        <v>0</v>
      </c>
      <c r="V164" s="61">
        <f>T164*係数!$C$30*0.0000258</f>
        <v>0</v>
      </c>
      <c r="W164" s="8">
        <f t="shared" si="18"/>
        <v>0</v>
      </c>
      <c r="X164" s="272">
        <f t="shared" si="19"/>
        <v>0</v>
      </c>
      <c r="Y164" s="489">
        <f t="shared" si="20"/>
        <v>0</v>
      </c>
    </row>
    <row r="165" spans="2:25">
      <c r="B165" s="100" t="s">
        <v>491</v>
      </c>
      <c r="C165" s="12"/>
      <c r="D165" s="3"/>
      <c r="E165" s="77"/>
      <c r="F165" s="62"/>
      <c r="G165" s="62"/>
      <c r="H165" s="84" t="s">
        <v>382</v>
      </c>
      <c r="I165" s="3"/>
      <c r="J165" s="60">
        <f t="shared" si="21"/>
        <v>0</v>
      </c>
      <c r="K165" s="60">
        <f t="shared" si="15"/>
        <v>0</v>
      </c>
      <c r="L165" s="61">
        <f>K165*係数!$H$30</f>
        <v>0</v>
      </c>
      <c r="M165" s="61">
        <f>K165*係数!$C$30*0.0000258</f>
        <v>0</v>
      </c>
      <c r="N165" s="12"/>
      <c r="O165" s="3"/>
      <c r="P165" s="3"/>
      <c r="Q165" s="84" t="s">
        <v>382</v>
      </c>
      <c r="R165" s="3"/>
      <c r="S165" s="488">
        <f t="shared" si="16"/>
        <v>0</v>
      </c>
      <c r="T165" s="8">
        <f t="shared" si="17"/>
        <v>0</v>
      </c>
      <c r="U165" s="61">
        <f>T165*係数!$H$30</f>
        <v>0</v>
      </c>
      <c r="V165" s="61">
        <f>T165*係数!$C$30*0.0000258</f>
        <v>0</v>
      </c>
      <c r="W165" s="8">
        <f t="shared" si="18"/>
        <v>0</v>
      </c>
      <c r="X165" s="272">
        <f t="shared" si="19"/>
        <v>0</v>
      </c>
      <c r="Y165" s="489">
        <f t="shared" si="20"/>
        <v>0</v>
      </c>
    </row>
    <row r="166" spans="2:25">
      <c r="B166" s="100" t="s">
        <v>492</v>
      </c>
      <c r="C166" s="12"/>
      <c r="D166" s="3"/>
      <c r="E166" s="77"/>
      <c r="F166" s="62"/>
      <c r="G166" s="62"/>
      <c r="H166" s="84" t="s">
        <v>382</v>
      </c>
      <c r="I166" s="3"/>
      <c r="J166" s="60">
        <f t="shared" si="21"/>
        <v>0</v>
      </c>
      <c r="K166" s="60">
        <f t="shared" si="15"/>
        <v>0</v>
      </c>
      <c r="L166" s="61">
        <f>K166*係数!$H$30</f>
        <v>0</v>
      </c>
      <c r="M166" s="61">
        <f>K166*係数!$C$30*0.0000258</f>
        <v>0</v>
      </c>
      <c r="N166" s="12"/>
      <c r="O166" s="3"/>
      <c r="P166" s="3"/>
      <c r="Q166" s="84" t="s">
        <v>382</v>
      </c>
      <c r="R166" s="3"/>
      <c r="S166" s="488">
        <f t="shared" si="16"/>
        <v>0</v>
      </c>
      <c r="T166" s="8">
        <f t="shared" si="17"/>
        <v>0</v>
      </c>
      <c r="U166" s="61">
        <f>T166*係数!$H$30</f>
        <v>0</v>
      </c>
      <c r="V166" s="61">
        <f>T166*係数!$C$30*0.0000258</f>
        <v>0</v>
      </c>
      <c r="W166" s="8">
        <f t="shared" si="18"/>
        <v>0</v>
      </c>
      <c r="X166" s="272">
        <f t="shared" si="19"/>
        <v>0</v>
      </c>
      <c r="Y166" s="489">
        <f t="shared" si="20"/>
        <v>0</v>
      </c>
    </row>
    <row r="167" spans="2:25">
      <c r="B167" s="100" t="s">
        <v>493</v>
      </c>
      <c r="C167" s="12"/>
      <c r="D167" s="3"/>
      <c r="E167" s="77"/>
      <c r="F167" s="62"/>
      <c r="G167" s="62"/>
      <c r="H167" s="84" t="s">
        <v>382</v>
      </c>
      <c r="I167" s="3"/>
      <c r="J167" s="60">
        <f t="shared" si="21"/>
        <v>0</v>
      </c>
      <c r="K167" s="60">
        <f t="shared" si="15"/>
        <v>0</v>
      </c>
      <c r="L167" s="61">
        <f>K167*係数!$H$30</f>
        <v>0</v>
      </c>
      <c r="M167" s="61">
        <f>K167*係数!$C$30*0.0000258</f>
        <v>0</v>
      </c>
      <c r="N167" s="12"/>
      <c r="O167" s="3"/>
      <c r="P167" s="3"/>
      <c r="Q167" s="84" t="s">
        <v>382</v>
      </c>
      <c r="R167" s="3"/>
      <c r="S167" s="488">
        <f t="shared" si="16"/>
        <v>0</v>
      </c>
      <c r="T167" s="8">
        <f t="shared" si="17"/>
        <v>0</v>
      </c>
      <c r="U167" s="61">
        <f>T167*係数!$H$30</f>
        <v>0</v>
      </c>
      <c r="V167" s="61">
        <f>T167*係数!$C$30*0.0000258</f>
        <v>0</v>
      </c>
      <c r="W167" s="8">
        <f t="shared" si="18"/>
        <v>0</v>
      </c>
      <c r="X167" s="272">
        <f t="shared" si="19"/>
        <v>0</v>
      </c>
      <c r="Y167" s="489">
        <f t="shared" si="20"/>
        <v>0</v>
      </c>
    </row>
    <row r="168" spans="2:25">
      <c r="B168" s="100" t="s">
        <v>494</v>
      </c>
      <c r="C168" s="12"/>
      <c r="D168" s="3"/>
      <c r="E168" s="77"/>
      <c r="F168" s="62"/>
      <c r="G168" s="62"/>
      <c r="H168" s="84" t="s">
        <v>382</v>
      </c>
      <c r="I168" s="3"/>
      <c r="J168" s="60">
        <f t="shared" si="21"/>
        <v>0</v>
      </c>
      <c r="K168" s="60">
        <f t="shared" si="15"/>
        <v>0</v>
      </c>
      <c r="L168" s="61">
        <f>K168*係数!$H$30</f>
        <v>0</v>
      </c>
      <c r="M168" s="61">
        <f>K168*係数!$C$30*0.0000258</f>
        <v>0</v>
      </c>
      <c r="N168" s="12"/>
      <c r="O168" s="3"/>
      <c r="P168" s="3"/>
      <c r="Q168" s="84" t="s">
        <v>382</v>
      </c>
      <c r="R168" s="3"/>
      <c r="S168" s="488">
        <f t="shared" si="16"/>
        <v>0</v>
      </c>
      <c r="T168" s="8">
        <f t="shared" si="17"/>
        <v>0</v>
      </c>
      <c r="U168" s="61">
        <f>T168*係数!$H$30</f>
        <v>0</v>
      </c>
      <c r="V168" s="61">
        <f>T168*係数!$C$30*0.0000258</f>
        <v>0</v>
      </c>
      <c r="W168" s="8">
        <f t="shared" si="18"/>
        <v>0</v>
      </c>
      <c r="X168" s="272">
        <f t="shared" si="19"/>
        <v>0</v>
      </c>
      <c r="Y168" s="489">
        <f t="shared" si="20"/>
        <v>0</v>
      </c>
    </row>
    <row r="169" spans="2:25">
      <c r="B169" s="100" t="s">
        <v>495</v>
      </c>
      <c r="C169" s="12"/>
      <c r="D169" s="3"/>
      <c r="E169" s="77"/>
      <c r="F169" s="62"/>
      <c r="G169" s="62"/>
      <c r="H169" s="84" t="s">
        <v>382</v>
      </c>
      <c r="I169" s="3"/>
      <c r="J169" s="60">
        <f t="shared" si="21"/>
        <v>0</v>
      </c>
      <c r="K169" s="60">
        <f t="shared" si="15"/>
        <v>0</v>
      </c>
      <c r="L169" s="61">
        <f>K169*係数!$H$30</f>
        <v>0</v>
      </c>
      <c r="M169" s="61">
        <f>K169*係数!$C$30*0.0000258</f>
        <v>0</v>
      </c>
      <c r="N169" s="12"/>
      <c r="O169" s="3"/>
      <c r="P169" s="3"/>
      <c r="Q169" s="84" t="s">
        <v>382</v>
      </c>
      <c r="R169" s="3"/>
      <c r="S169" s="488">
        <f t="shared" si="16"/>
        <v>0</v>
      </c>
      <c r="T169" s="8">
        <f t="shared" si="17"/>
        <v>0</v>
      </c>
      <c r="U169" s="61">
        <f>T169*係数!$H$30</f>
        <v>0</v>
      </c>
      <c r="V169" s="61">
        <f>T169*係数!$C$30*0.0000258</f>
        <v>0</v>
      </c>
      <c r="W169" s="8">
        <f t="shared" si="18"/>
        <v>0</v>
      </c>
      <c r="X169" s="272">
        <f t="shared" si="19"/>
        <v>0</v>
      </c>
      <c r="Y169" s="489">
        <f t="shared" si="20"/>
        <v>0</v>
      </c>
    </row>
    <row r="170" spans="2:25">
      <c r="B170" s="100" t="s">
        <v>496</v>
      </c>
      <c r="C170" s="12"/>
      <c r="D170" s="3"/>
      <c r="E170" s="77"/>
      <c r="F170" s="62"/>
      <c r="G170" s="62"/>
      <c r="H170" s="84" t="s">
        <v>382</v>
      </c>
      <c r="I170" s="3"/>
      <c r="J170" s="60">
        <f t="shared" si="21"/>
        <v>0</v>
      </c>
      <c r="K170" s="60">
        <f t="shared" si="15"/>
        <v>0</v>
      </c>
      <c r="L170" s="61">
        <f>K170*係数!$H$30</f>
        <v>0</v>
      </c>
      <c r="M170" s="61">
        <f>K170*係数!$C$30*0.0000258</f>
        <v>0</v>
      </c>
      <c r="N170" s="12"/>
      <c r="O170" s="3"/>
      <c r="P170" s="3"/>
      <c r="Q170" s="84" t="s">
        <v>382</v>
      </c>
      <c r="R170" s="3"/>
      <c r="S170" s="488">
        <f t="shared" si="16"/>
        <v>0</v>
      </c>
      <c r="T170" s="8">
        <f t="shared" si="17"/>
        <v>0</v>
      </c>
      <c r="U170" s="61">
        <f>T170*係数!$H$30</f>
        <v>0</v>
      </c>
      <c r="V170" s="61">
        <f>T170*係数!$C$30*0.0000258</f>
        <v>0</v>
      </c>
      <c r="W170" s="8">
        <f t="shared" si="18"/>
        <v>0</v>
      </c>
      <c r="X170" s="272">
        <f t="shared" si="19"/>
        <v>0</v>
      </c>
      <c r="Y170" s="489">
        <f t="shared" si="20"/>
        <v>0</v>
      </c>
    </row>
    <row r="171" spans="2:25">
      <c r="B171" s="100" t="s">
        <v>497</v>
      </c>
      <c r="C171" s="12"/>
      <c r="D171" s="3"/>
      <c r="E171" s="77"/>
      <c r="F171" s="62"/>
      <c r="G171" s="62"/>
      <c r="H171" s="84" t="s">
        <v>382</v>
      </c>
      <c r="I171" s="3"/>
      <c r="J171" s="60">
        <f t="shared" si="21"/>
        <v>0</v>
      </c>
      <c r="K171" s="60">
        <f t="shared" si="15"/>
        <v>0</v>
      </c>
      <c r="L171" s="61">
        <f>K171*係数!$H$30</f>
        <v>0</v>
      </c>
      <c r="M171" s="61">
        <f>K171*係数!$C$30*0.0000258</f>
        <v>0</v>
      </c>
      <c r="N171" s="12"/>
      <c r="O171" s="3"/>
      <c r="P171" s="3"/>
      <c r="Q171" s="84" t="s">
        <v>382</v>
      </c>
      <c r="R171" s="3"/>
      <c r="S171" s="488">
        <f t="shared" si="16"/>
        <v>0</v>
      </c>
      <c r="T171" s="8">
        <f t="shared" si="17"/>
        <v>0</v>
      </c>
      <c r="U171" s="61">
        <f>T171*係数!$H$30</f>
        <v>0</v>
      </c>
      <c r="V171" s="61">
        <f>T171*係数!$C$30*0.0000258</f>
        <v>0</v>
      </c>
      <c r="W171" s="8">
        <f t="shared" si="18"/>
        <v>0</v>
      </c>
      <c r="X171" s="272">
        <f t="shared" si="19"/>
        <v>0</v>
      </c>
      <c r="Y171" s="489">
        <f t="shared" si="20"/>
        <v>0</v>
      </c>
    </row>
    <row r="172" spans="2:25">
      <c r="B172" s="100" t="s">
        <v>498</v>
      </c>
      <c r="C172" s="12"/>
      <c r="D172" s="3"/>
      <c r="E172" s="77"/>
      <c r="F172" s="62"/>
      <c r="G172" s="62"/>
      <c r="H172" s="84" t="s">
        <v>382</v>
      </c>
      <c r="I172" s="3"/>
      <c r="J172" s="60">
        <f t="shared" si="21"/>
        <v>0</v>
      </c>
      <c r="K172" s="60">
        <f t="shared" si="15"/>
        <v>0</v>
      </c>
      <c r="L172" s="61">
        <f>K172*係数!$H$30</f>
        <v>0</v>
      </c>
      <c r="M172" s="61">
        <f>K172*係数!$C$30*0.0000258</f>
        <v>0</v>
      </c>
      <c r="N172" s="12"/>
      <c r="O172" s="3"/>
      <c r="P172" s="3"/>
      <c r="Q172" s="84" t="s">
        <v>382</v>
      </c>
      <c r="R172" s="3"/>
      <c r="S172" s="488">
        <f t="shared" si="16"/>
        <v>0</v>
      </c>
      <c r="T172" s="8">
        <f t="shared" si="17"/>
        <v>0</v>
      </c>
      <c r="U172" s="61">
        <f>T172*係数!$H$30</f>
        <v>0</v>
      </c>
      <c r="V172" s="61">
        <f>T172*係数!$C$30*0.0000258</f>
        <v>0</v>
      </c>
      <c r="W172" s="8">
        <f t="shared" si="18"/>
        <v>0</v>
      </c>
      <c r="X172" s="272">
        <f t="shared" si="19"/>
        <v>0</v>
      </c>
      <c r="Y172" s="489">
        <f t="shared" si="20"/>
        <v>0</v>
      </c>
    </row>
    <row r="173" spans="2:25">
      <c r="B173" s="100" t="s">
        <v>499</v>
      </c>
      <c r="C173" s="12"/>
      <c r="D173" s="3"/>
      <c r="E173" s="77"/>
      <c r="F173" s="62"/>
      <c r="G173" s="62"/>
      <c r="H173" s="84" t="s">
        <v>382</v>
      </c>
      <c r="I173" s="3"/>
      <c r="J173" s="60">
        <f t="shared" si="21"/>
        <v>0</v>
      </c>
      <c r="K173" s="60">
        <f t="shared" si="15"/>
        <v>0</v>
      </c>
      <c r="L173" s="61">
        <f>K173*係数!$H$30</f>
        <v>0</v>
      </c>
      <c r="M173" s="61">
        <f>K173*係数!$C$30*0.0000258</f>
        <v>0</v>
      </c>
      <c r="N173" s="12"/>
      <c r="O173" s="3"/>
      <c r="P173" s="3"/>
      <c r="Q173" s="84" t="s">
        <v>382</v>
      </c>
      <c r="R173" s="3"/>
      <c r="S173" s="488">
        <f t="shared" si="16"/>
        <v>0</v>
      </c>
      <c r="T173" s="8">
        <f t="shared" si="17"/>
        <v>0</v>
      </c>
      <c r="U173" s="61">
        <f>T173*係数!$H$30</f>
        <v>0</v>
      </c>
      <c r="V173" s="61">
        <f>T173*係数!$C$30*0.0000258</f>
        <v>0</v>
      </c>
      <c r="W173" s="8">
        <f t="shared" si="18"/>
        <v>0</v>
      </c>
      <c r="X173" s="272">
        <f t="shared" si="19"/>
        <v>0</v>
      </c>
      <c r="Y173" s="489">
        <f t="shared" si="20"/>
        <v>0</v>
      </c>
    </row>
    <row r="174" spans="2:25">
      <c r="B174" s="100" t="s">
        <v>500</v>
      </c>
      <c r="C174" s="12"/>
      <c r="D174" s="3"/>
      <c r="E174" s="77"/>
      <c r="F174" s="62"/>
      <c r="G174" s="62"/>
      <c r="H174" s="84" t="s">
        <v>382</v>
      </c>
      <c r="I174" s="3"/>
      <c r="J174" s="60">
        <f t="shared" si="21"/>
        <v>0</v>
      </c>
      <c r="K174" s="60">
        <f t="shared" si="15"/>
        <v>0</v>
      </c>
      <c r="L174" s="61">
        <f>K174*係数!$H$30</f>
        <v>0</v>
      </c>
      <c r="M174" s="61">
        <f>K174*係数!$C$30*0.0000258</f>
        <v>0</v>
      </c>
      <c r="N174" s="12"/>
      <c r="O174" s="3"/>
      <c r="P174" s="3"/>
      <c r="Q174" s="84" t="s">
        <v>382</v>
      </c>
      <c r="R174" s="3"/>
      <c r="S174" s="488">
        <f t="shared" si="16"/>
        <v>0</v>
      </c>
      <c r="T174" s="8">
        <f t="shared" si="17"/>
        <v>0</v>
      </c>
      <c r="U174" s="61">
        <f>T174*係数!$H$30</f>
        <v>0</v>
      </c>
      <c r="V174" s="61">
        <f>T174*係数!$C$30*0.0000258</f>
        <v>0</v>
      </c>
      <c r="W174" s="8">
        <f t="shared" si="18"/>
        <v>0</v>
      </c>
      <c r="X174" s="272">
        <f t="shared" si="19"/>
        <v>0</v>
      </c>
      <c r="Y174" s="489">
        <f t="shared" si="20"/>
        <v>0</v>
      </c>
    </row>
    <row r="175" spans="2:25">
      <c r="B175" s="100" t="s">
        <v>501</v>
      </c>
      <c r="C175" s="12"/>
      <c r="D175" s="3"/>
      <c r="E175" s="77"/>
      <c r="F175" s="62"/>
      <c r="G175" s="62"/>
      <c r="H175" s="84" t="s">
        <v>382</v>
      </c>
      <c r="I175" s="3"/>
      <c r="J175" s="60">
        <f t="shared" si="21"/>
        <v>0</v>
      </c>
      <c r="K175" s="60">
        <f t="shared" si="15"/>
        <v>0</v>
      </c>
      <c r="L175" s="61">
        <f>K175*係数!$H$30</f>
        <v>0</v>
      </c>
      <c r="M175" s="61">
        <f>K175*係数!$C$30*0.0000258</f>
        <v>0</v>
      </c>
      <c r="N175" s="12"/>
      <c r="O175" s="3"/>
      <c r="P175" s="3"/>
      <c r="Q175" s="84" t="s">
        <v>382</v>
      </c>
      <c r="R175" s="3"/>
      <c r="S175" s="488">
        <f t="shared" si="16"/>
        <v>0</v>
      </c>
      <c r="T175" s="8">
        <f t="shared" si="17"/>
        <v>0</v>
      </c>
      <c r="U175" s="61">
        <f>T175*係数!$H$30</f>
        <v>0</v>
      </c>
      <c r="V175" s="61">
        <f>T175*係数!$C$30*0.0000258</f>
        <v>0</v>
      </c>
      <c r="W175" s="8">
        <f t="shared" si="18"/>
        <v>0</v>
      </c>
      <c r="X175" s="272">
        <f t="shared" si="19"/>
        <v>0</v>
      </c>
      <c r="Y175" s="489">
        <f t="shared" si="20"/>
        <v>0</v>
      </c>
    </row>
    <row r="176" spans="2:25">
      <c r="B176" s="100" t="s">
        <v>502</v>
      </c>
      <c r="C176" s="12"/>
      <c r="D176" s="3"/>
      <c r="E176" s="77"/>
      <c r="F176" s="62"/>
      <c r="G176" s="62"/>
      <c r="H176" s="84" t="s">
        <v>382</v>
      </c>
      <c r="I176" s="3"/>
      <c r="J176" s="60">
        <f t="shared" si="21"/>
        <v>0</v>
      </c>
      <c r="K176" s="60">
        <f t="shared" si="15"/>
        <v>0</v>
      </c>
      <c r="L176" s="61">
        <f>K176*係数!$H$30</f>
        <v>0</v>
      </c>
      <c r="M176" s="61">
        <f>K176*係数!$C$30*0.0000258</f>
        <v>0</v>
      </c>
      <c r="N176" s="12"/>
      <c r="O176" s="3"/>
      <c r="P176" s="3"/>
      <c r="Q176" s="84" t="s">
        <v>382</v>
      </c>
      <c r="R176" s="3"/>
      <c r="S176" s="488">
        <f t="shared" si="16"/>
        <v>0</v>
      </c>
      <c r="T176" s="8">
        <f t="shared" si="17"/>
        <v>0</v>
      </c>
      <c r="U176" s="61">
        <f>T176*係数!$H$30</f>
        <v>0</v>
      </c>
      <c r="V176" s="61">
        <f>T176*係数!$C$30*0.0000258</f>
        <v>0</v>
      </c>
      <c r="W176" s="8">
        <f t="shared" si="18"/>
        <v>0</v>
      </c>
      <c r="X176" s="272">
        <f t="shared" si="19"/>
        <v>0</v>
      </c>
      <c r="Y176" s="489">
        <f t="shared" si="20"/>
        <v>0</v>
      </c>
    </row>
    <row r="177" spans="2:25">
      <c r="B177" s="100" t="s">
        <v>503</v>
      </c>
      <c r="C177" s="12"/>
      <c r="D177" s="3"/>
      <c r="E177" s="77"/>
      <c r="F177" s="62"/>
      <c r="G177" s="62"/>
      <c r="H177" s="84" t="s">
        <v>382</v>
      </c>
      <c r="I177" s="3"/>
      <c r="J177" s="60">
        <f t="shared" si="21"/>
        <v>0</v>
      </c>
      <c r="K177" s="60">
        <f t="shared" si="15"/>
        <v>0</v>
      </c>
      <c r="L177" s="61">
        <f>K177*係数!$H$30</f>
        <v>0</v>
      </c>
      <c r="M177" s="61">
        <f>K177*係数!$C$30*0.0000258</f>
        <v>0</v>
      </c>
      <c r="N177" s="12"/>
      <c r="O177" s="3"/>
      <c r="P177" s="3"/>
      <c r="Q177" s="84" t="s">
        <v>382</v>
      </c>
      <c r="R177" s="3"/>
      <c r="S177" s="488">
        <f t="shared" si="16"/>
        <v>0</v>
      </c>
      <c r="T177" s="8">
        <f t="shared" si="17"/>
        <v>0</v>
      </c>
      <c r="U177" s="61">
        <f>T177*係数!$H$30</f>
        <v>0</v>
      </c>
      <c r="V177" s="61">
        <f>T177*係数!$C$30*0.0000258</f>
        <v>0</v>
      </c>
      <c r="W177" s="8">
        <f t="shared" si="18"/>
        <v>0</v>
      </c>
      <c r="X177" s="272">
        <f t="shared" si="19"/>
        <v>0</v>
      </c>
      <c r="Y177" s="489">
        <f t="shared" si="20"/>
        <v>0</v>
      </c>
    </row>
    <row r="178" spans="2:25">
      <c r="B178" s="100" t="s">
        <v>504</v>
      </c>
      <c r="C178" s="12"/>
      <c r="D178" s="3"/>
      <c r="E178" s="77"/>
      <c r="F178" s="62"/>
      <c r="G178" s="62"/>
      <c r="H178" s="84" t="s">
        <v>382</v>
      </c>
      <c r="I178" s="3"/>
      <c r="J178" s="60">
        <f t="shared" si="21"/>
        <v>0</v>
      </c>
      <c r="K178" s="60">
        <f t="shared" si="15"/>
        <v>0</v>
      </c>
      <c r="L178" s="61">
        <f>K178*係数!$H$30</f>
        <v>0</v>
      </c>
      <c r="M178" s="61">
        <f>K178*係数!$C$30*0.0000258</f>
        <v>0</v>
      </c>
      <c r="N178" s="12"/>
      <c r="O178" s="3"/>
      <c r="P178" s="3"/>
      <c r="Q178" s="84" t="s">
        <v>382</v>
      </c>
      <c r="R178" s="3"/>
      <c r="S178" s="488">
        <f t="shared" si="16"/>
        <v>0</v>
      </c>
      <c r="T178" s="8">
        <f t="shared" si="17"/>
        <v>0</v>
      </c>
      <c r="U178" s="61">
        <f>T178*係数!$H$30</f>
        <v>0</v>
      </c>
      <c r="V178" s="61">
        <f>T178*係数!$C$30*0.0000258</f>
        <v>0</v>
      </c>
      <c r="W178" s="8">
        <f t="shared" si="18"/>
        <v>0</v>
      </c>
      <c r="X178" s="272">
        <f t="shared" si="19"/>
        <v>0</v>
      </c>
      <c r="Y178" s="489">
        <f t="shared" si="20"/>
        <v>0</v>
      </c>
    </row>
    <row r="179" spans="2:25">
      <c r="B179" s="100" t="s">
        <v>505</v>
      </c>
      <c r="C179" s="12"/>
      <c r="D179" s="3"/>
      <c r="E179" s="77"/>
      <c r="F179" s="62"/>
      <c r="G179" s="62"/>
      <c r="H179" s="84" t="s">
        <v>382</v>
      </c>
      <c r="I179" s="3"/>
      <c r="J179" s="60">
        <f t="shared" si="21"/>
        <v>0</v>
      </c>
      <c r="K179" s="60">
        <f t="shared" si="15"/>
        <v>0</v>
      </c>
      <c r="L179" s="61">
        <f>K179*係数!$H$30</f>
        <v>0</v>
      </c>
      <c r="M179" s="61">
        <f>K179*係数!$C$30*0.0000258</f>
        <v>0</v>
      </c>
      <c r="N179" s="12"/>
      <c r="O179" s="3"/>
      <c r="P179" s="3"/>
      <c r="Q179" s="84" t="s">
        <v>382</v>
      </c>
      <c r="R179" s="3"/>
      <c r="S179" s="488">
        <f t="shared" si="16"/>
        <v>0</v>
      </c>
      <c r="T179" s="8">
        <f t="shared" si="17"/>
        <v>0</v>
      </c>
      <c r="U179" s="61">
        <f>T179*係数!$H$30</f>
        <v>0</v>
      </c>
      <c r="V179" s="61">
        <f>T179*係数!$C$30*0.0000258</f>
        <v>0</v>
      </c>
      <c r="W179" s="8">
        <f t="shared" si="18"/>
        <v>0</v>
      </c>
      <c r="X179" s="272">
        <f t="shared" si="19"/>
        <v>0</v>
      </c>
      <c r="Y179" s="489">
        <f t="shared" si="20"/>
        <v>0</v>
      </c>
    </row>
    <row r="180" spans="2:25">
      <c r="B180" s="100" t="s">
        <v>506</v>
      </c>
      <c r="C180" s="12"/>
      <c r="D180" s="3"/>
      <c r="E180" s="77"/>
      <c r="F180" s="62"/>
      <c r="G180" s="62"/>
      <c r="H180" s="84" t="s">
        <v>382</v>
      </c>
      <c r="I180" s="3"/>
      <c r="J180" s="60">
        <f t="shared" si="21"/>
        <v>0</v>
      </c>
      <c r="K180" s="60">
        <f t="shared" si="15"/>
        <v>0</v>
      </c>
      <c r="L180" s="61">
        <f>K180*係数!$H$30</f>
        <v>0</v>
      </c>
      <c r="M180" s="61">
        <f>K180*係数!$C$30*0.0000258</f>
        <v>0</v>
      </c>
      <c r="N180" s="12"/>
      <c r="O180" s="3"/>
      <c r="P180" s="3"/>
      <c r="Q180" s="84" t="s">
        <v>382</v>
      </c>
      <c r="R180" s="3"/>
      <c r="S180" s="488">
        <f t="shared" si="16"/>
        <v>0</v>
      </c>
      <c r="T180" s="8">
        <f t="shared" si="17"/>
        <v>0</v>
      </c>
      <c r="U180" s="61">
        <f>T180*係数!$H$30</f>
        <v>0</v>
      </c>
      <c r="V180" s="61">
        <f>T180*係数!$C$30*0.0000258</f>
        <v>0</v>
      </c>
      <c r="W180" s="8">
        <f t="shared" si="18"/>
        <v>0</v>
      </c>
      <c r="X180" s="272">
        <f t="shared" si="19"/>
        <v>0</v>
      </c>
      <c r="Y180" s="489">
        <f t="shared" si="20"/>
        <v>0</v>
      </c>
    </row>
    <row r="181" spans="2:25">
      <c r="B181" s="100" t="s">
        <v>507</v>
      </c>
      <c r="C181" s="12"/>
      <c r="D181" s="3"/>
      <c r="E181" s="77"/>
      <c r="F181" s="62"/>
      <c r="G181" s="62"/>
      <c r="H181" s="84" t="s">
        <v>382</v>
      </c>
      <c r="I181" s="3"/>
      <c r="J181" s="60">
        <f t="shared" si="21"/>
        <v>0</v>
      </c>
      <c r="K181" s="60">
        <f t="shared" si="15"/>
        <v>0</v>
      </c>
      <c r="L181" s="61">
        <f>K181*係数!$H$30</f>
        <v>0</v>
      </c>
      <c r="M181" s="61">
        <f>K181*係数!$C$30*0.0000258</f>
        <v>0</v>
      </c>
      <c r="N181" s="12"/>
      <c r="O181" s="3"/>
      <c r="P181" s="3"/>
      <c r="Q181" s="84" t="s">
        <v>382</v>
      </c>
      <c r="R181" s="3"/>
      <c r="S181" s="488">
        <f t="shared" si="16"/>
        <v>0</v>
      </c>
      <c r="T181" s="8">
        <f t="shared" si="17"/>
        <v>0</v>
      </c>
      <c r="U181" s="61">
        <f>T181*係数!$H$30</f>
        <v>0</v>
      </c>
      <c r="V181" s="61">
        <f>T181*係数!$C$30*0.0000258</f>
        <v>0</v>
      </c>
      <c r="W181" s="8">
        <f t="shared" si="18"/>
        <v>0</v>
      </c>
      <c r="X181" s="272">
        <f t="shared" si="19"/>
        <v>0</v>
      </c>
      <c r="Y181" s="489">
        <f t="shared" si="20"/>
        <v>0</v>
      </c>
    </row>
    <row r="182" spans="2:25">
      <c r="B182" s="100" t="s">
        <v>508</v>
      </c>
      <c r="C182" s="12"/>
      <c r="D182" s="3"/>
      <c r="E182" s="77"/>
      <c r="F182" s="62"/>
      <c r="G182" s="62"/>
      <c r="H182" s="84" t="s">
        <v>382</v>
      </c>
      <c r="I182" s="3"/>
      <c r="J182" s="60">
        <f t="shared" si="21"/>
        <v>0</v>
      </c>
      <c r="K182" s="60">
        <f t="shared" si="15"/>
        <v>0</v>
      </c>
      <c r="L182" s="61">
        <f>K182*係数!$H$30</f>
        <v>0</v>
      </c>
      <c r="M182" s="61">
        <f>K182*係数!$C$30*0.0000258</f>
        <v>0</v>
      </c>
      <c r="N182" s="12"/>
      <c r="O182" s="3"/>
      <c r="P182" s="3"/>
      <c r="Q182" s="84" t="s">
        <v>382</v>
      </c>
      <c r="R182" s="3"/>
      <c r="S182" s="488">
        <f t="shared" si="16"/>
        <v>0</v>
      </c>
      <c r="T182" s="8">
        <f t="shared" si="17"/>
        <v>0</v>
      </c>
      <c r="U182" s="61">
        <f>T182*係数!$H$30</f>
        <v>0</v>
      </c>
      <c r="V182" s="61">
        <f>T182*係数!$C$30*0.0000258</f>
        <v>0</v>
      </c>
      <c r="W182" s="8">
        <f t="shared" si="18"/>
        <v>0</v>
      </c>
      <c r="X182" s="272">
        <f t="shared" si="19"/>
        <v>0</v>
      </c>
      <c r="Y182" s="489">
        <f t="shared" si="20"/>
        <v>0</v>
      </c>
    </row>
    <row r="183" spans="2:25">
      <c r="B183" s="100" t="s">
        <v>509</v>
      </c>
      <c r="C183" s="12"/>
      <c r="D183" s="3"/>
      <c r="E183" s="77"/>
      <c r="F183" s="62"/>
      <c r="G183" s="62"/>
      <c r="H183" s="84" t="s">
        <v>382</v>
      </c>
      <c r="I183" s="3"/>
      <c r="J183" s="60">
        <f t="shared" si="21"/>
        <v>0</v>
      </c>
      <c r="K183" s="60">
        <f t="shared" si="15"/>
        <v>0</v>
      </c>
      <c r="L183" s="61">
        <f>K183*係数!$H$30</f>
        <v>0</v>
      </c>
      <c r="M183" s="61">
        <f>K183*係数!$C$30*0.0000258</f>
        <v>0</v>
      </c>
      <c r="N183" s="12"/>
      <c r="O183" s="3"/>
      <c r="P183" s="3"/>
      <c r="Q183" s="84" t="s">
        <v>382</v>
      </c>
      <c r="R183" s="3"/>
      <c r="S183" s="488">
        <f t="shared" si="16"/>
        <v>0</v>
      </c>
      <c r="T183" s="8">
        <f t="shared" si="17"/>
        <v>0</v>
      </c>
      <c r="U183" s="61">
        <f>T183*係数!$H$30</f>
        <v>0</v>
      </c>
      <c r="V183" s="61">
        <f>T183*係数!$C$30*0.0000258</f>
        <v>0</v>
      </c>
      <c r="W183" s="8">
        <f t="shared" si="18"/>
        <v>0</v>
      </c>
      <c r="X183" s="272">
        <f t="shared" si="19"/>
        <v>0</v>
      </c>
      <c r="Y183" s="489">
        <f t="shared" si="20"/>
        <v>0</v>
      </c>
    </row>
    <row r="184" spans="2:25">
      <c r="B184" s="100" t="s">
        <v>510</v>
      </c>
      <c r="C184" s="12"/>
      <c r="D184" s="3"/>
      <c r="E184" s="77"/>
      <c r="F184" s="62"/>
      <c r="G184" s="62"/>
      <c r="H184" s="84" t="s">
        <v>382</v>
      </c>
      <c r="I184" s="3"/>
      <c r="J184" s="60">
        <f t="shared" si="21"/>
        <v>0</v>
      </c>
      <c r="K184" s="60">
        <f t="shared" si="15"/>
        <v>0</v>
      </c>
      <c r="L184" s="61">
        <f>K184*係数!$H$30</f>
        <v>0</v>
      </c>
      <c r="M184" s="61">
        <f>K184*係数!$C$30*0.0000258</f>
        <v>0</v>
      </c>
      <c r="N184" s="12"/>
      <c r="O184" s="3"/>
      <c r="P184" s="3"/>
      <c r="Q184" s="84" t="s">
        <v>382</v>
      </c>
      <c r="R184" s="3"/>
      <c r="S184" s="488">
        <f t="shared" si="16"/>
        <v>0</v>
      </c>
      <c r="T184" s="8">
        <f t="shared" si="17"/>
        <v>0</v>
      </c>
      <c r="U184" s="61">
        <f>T184*係数!$H$30</f>
        <v>0</v>
      </c>
      <c r="V184" s="61">
        <f>T184*係数!$C$30*0.0000258</f>
        <v>0</v>
      </c>
      <c r="W184" s="8">
        <f t="shared" si="18"/>
        <v>0</v>
      </c>
      <c r="X184" s="272">
        <f t="shared" si="19"/>
        <v>0</v>
      </c>
      <c r="Y184" s="489">
        <f t="shared" si="20"/>
        <v>0</v>
      </c>
    </row>
    <row r="185" spans="2:25">
      <c r="B185" s="100" t="s">
        <v>511</v>
      </c>
      <c r="C185" s="12"/>
      <c r="D185" s="3"/>
      <c r="E185" s="77"/>
      <c r="F185" s="62"/>
      <c r="G185" s="62"/>
      <c r="H185" s="84" t="s">
        <v>382</v>
      </c>
      <c r="I185" s="3"/>
      <c r="J185" s="60">
        <f t="shared" si="21"/>
        <v>0</v>
      </c>
      <c r="K185" s="60">
        <f t="shared" si="15"/>
        <v>0</v>
      </c>
      <c r="L185" s="61">
        <f>K185*係数!$H$30</f>
        <v>0</v>
      </c>
      <c r="M185" s="61">
        <f>K185*係数!$C$30*0.0000258</f>
        <v>0</v>
      </c>
      <c r="N185" s="12"/>
      <c r="O185" s="3"/>
      <c r="P185" s="3"/>
      <c r="Q185" s="84" t="s">
        <v>382</v>
      </c>
      <c r="R185" s="3"/>
      <c r="S185" s="488">
        <f t="shared" si="16"/>
        <v>0</v>
      </c>
      <c r="T185" s="8">
        <f t="shared" si="17"/>
        <v>0</v>
      </c>
      <c r="U185" s="61">
        <f>T185*係数!$H$30</f>
        <v>0</v>
      </c>
      <c r="V185" s="61">
        <f>T185*係数!$C$30*0.0000258</f>
        <v>0</v>
      </c>
      <c r="W185" s="8">
        <f t="shared" si="18"/>
        <v>0</v>
      </c>
      <c r="X185" s="272">
        <f t="shared" si="19"/>
        <v>0</v>
      </c>
      <c r="Y185" s="489">
        <f t="shared" si="20"/>
        <v>0</v>
      </c>
    </row>
    <row r="186" spans="2:25">
      <c r="B186" s="100" t="s">
        <v>512</v>
      </c>
      <c r="C186" s="12"/>
      <c r="D186" s="3"/>
      <c r="E186" s="77"/>
      <c r="F186" s="62"/>
      <c r="G186" s="62"/>
      <c r="H186" s="84" t="s">
        <v>382</v>
      </c>
      <c r="I186" s="3"/>
      <c r="J186" s="60">
        <f t="shared" si="21"/>
        <v>0</v>
      </c>
      <c r="K186" s="60">
        <f t="shared" si="15"/>
        <v>0</v>
      </c>
      <c r="L186" s="61">
        <f>K186*係数!$H$30</f>
        <v>0</v>
      </c>
      <c r="M186" s="61">
        <f>K186*係数!$C$30*0.0000258</f>
        <v>0</v>
      </c>
      <c r="N186" s="12"/>
      <c r="O186" s="3"/>
      <c r="P186" s="3"/>
      <c r="Q186" s="84" t="s">
        <v>382</v>
      </c>
      <c r="R186" s="3"/>
      <c r="S186" s="488">
        <f t="shared" si="16"/>
        <v>0</v>
      </c>
      <c r="T186" s="8">
        <f t="shared" si="17"/>
        <v>0</v>
      </c>
      <c r="U186" s="61">
        <f>T186*係数!$H$30</f>
        <v>0</v>
      </c>
      <c r="V186" s="61">
        <f>T186*係数!$C$30*0.0000258</f>
        <v>0</v>
      </c>
      <c r="W186" s="8">
        <f t="shared" si="18"/>
        <v>0</v>
      </c>
      <c r="X186" s="272">
        <f t="shared" si="19"/>
        <v>0</v>
      </c>
      <c r="Y186" s="489">
        <f t="shared" si="20"/>
        <v>0</v>
      </c>
    </row>
    <row r="187" spans="2:25">
      <c r="B187" s="100" t="s">
        <v>513</v>
      </c>
      <c r="C187" s="12"/>
      <c r="D187" s="3"/>
      <c r="E187" s="77"/>
      <c r="F187" s="62"/>
      <c r="G187" s="62"/>
      <c r="H187" s="84" t="s">
        <v>382</v>
      </c>
      <c r="I187" s="3"/>
      <c r="J187" s="60">
        <f t="shared" si="21"/>
        <v>0</v>
      </c>
      <c r="K187" s="60">
        <f t="shared" si="15"/>
        <v>0</v>
      </c>
      <c r="L187" s="61">
        <f>K187*係数!$H$30</f>
        <v>0</v>
      </c>
      <c r="M187" s="61">
        <f>K187*係数!$C$30*0.0000258</f>
        <v>0</v>
      </c>
      <c r="N187" s="12"/>
      <c r="O187" s="3"/>
      <c r="P187" s="3"/>
      <c r="Q187" s="84" t="s">
        <v>382</v>
      </c>
      <c r="R187" s="3"/>
      <c r="S187" s="488">
        <f t="shared" si="16"/>
        <v>0</v>
      </c>
      <c r="T187" s="8">
        <f t="shared" si="17"/>
        <v>0</v>
      </c>
      <c r="U187" s="61">
        <f>T187*係数!$H$30</f>
        <v>0</v>
      </c>
      <c r="V187" s="61">
        <f>T187*係数!$C$30*0.0000258</f>
        <v>0</v>
      </c>
      <c r="W187" s="8">
        <f t="shared" si="18"/>
        <v>0</v>
      </c>
      <c r="X187" s="272">
        <f t="shared" si="19"/>
        <v>0</v>
      </c>
      <c r="Y187" s="489">
        <f t="shared" si="20"/>
        <v>0</v>
      </c>
    </row>
    <row r="188" spans="2:25">
      <c r="B188" s="100" t="s">
        <v>514</v>
      </c>
      <c r="C188" s="12"/>
      <c r="D188" s="3"/>
      <c r="E188" s="77"/>
      <c r="F188" s="62"/>
      <c r="G188" s="62"/>
      <c r="H188" s="84" t="s">
        <v>382</v>
      </c>
      <c r="I188" s="3"/>
      <c r="J188" s="60">
        <f t="shared" si="21"/>
        <v>0</v>
      </c>
      <c r="K188" s="60">
        <f t="shared" si="15"/>
        <v>0</v>
      </c>
      <c r="L188" s="61">
        <f>K188*係数!$H$30</f>
        <v>0</v>
      </c>
      <c r="M188" s="61">
        <f>K188*係数!$C$30*0.0000258</f>
        <v>0</v>
      </c>
      <c r="N188" s="12"/>
      <c r="O188" s="3"/>
      <c r="P188" s="3"/>
      <c r="Q188" s="84" t="s">
        <v>382</v>
      </c>
      <c r="R188" s="3"/>
      <c r="S188" s="488">
        <f t="shared" si="16"/>
        <v>0</v>
      </c>
      <c r="T188" s="8">
        <f t="shared" si="17"/>
        <v>0</v>
      </c>
      <c r="U188" s="61">
        <f>T188*係数!$H$30</f>
        <v>0</v>
      </c>
      <c r="V188" s="61">
        <f>T188*係数!$C$30*0.0000258</f>
        <v>0</v>
      </c>
      <c r="W188" s="8">
        <f t="shared" si="18"/>
        <v>0</v>
      </c>
      <c r="X188" s="272">
        <f t="shared" si="19"/>
        <v>0</v>
      </c>
      <c r="Y188" s="489">
        <f t="shared" si="20"/>
        <v>0</v>
      </c>
    </row>
    <row r="189" spans="2:25">
      <c r="B189" s="100" t="s">
        <v>515</v>
      </c>
      <c r="C189" s="12"/>
      <c r="D189" s="3"/>
      <c r="E189" s="77"/>
      <c r="F189" s="62"/>
      <c r="G189" s="62"/>
      <c r="H189" s="84" t="s">
        <v>382</v>
      </c>
      <c r="I189" s="3"/>
      <c r="J189" s="60">
        <f t="shared" si="21"/>
        <v>0</v>
      </c>
      <c r="K189" s="60">
        <f t="shared" si="15"/>
        <v>0</v>
      </c>
      <c r="L189" s="61">
        <f>K189*係数!$H$30</f>
        <v>0</v>
      </c>
      <c r="M189" s="61">
        <f>K189*係数!$C$30*0.0000258</f>
        <v>0</v>
      </c>
      <c r="N189" s="12"/>
      <c r="O189" s="3"/>
      <c r="P189" s="3"/>
      <c r="Q189" s="84" t="s">
        <v>382</v>
      </c>
      <c r="R189" s="3"/>
      <c r="S189" s="488">
        <f t="shared" si="16"/>
        <v>0</v>
      </c>
      <c r="T189" s="8">
        <f t="shared" si="17"/>
        <v>0</v>
      </c>
      <c r="U189" s="61">
        <f>T189*係数!$H$30</f>
        <v>0</v>
      </c>
      <c r="V189" s="61">
        <f>T189*係数!$C$30*0.0000258</f>
        <v>0</v>
      </c>
      <c r="W189" s="8">
        <f t="shared" si="18"/>
        <v>0</v>
      </c>
      <c r="X189" s="272">
        <f t="shared" si="19"/>
        <v>0</v>
      </c>
      <c r="Y189" s="489">
        <f t="shared" si="20"/>
        <v>0</v>
      </c>
    </row>
    <row r="190" spans="2:25">
      <c r="B190" s="100" t="s">
        <v>516</v>
      </c>
      <c r="C190" s="12"/>
      <c r="D190" s="3"/>
      <c r="E190" s="77"/>
      <c r="F190" s="62"/>
      <c r="G190" s="62"/>
      <c r="H190" s="84" t="s">
        <v>382</v>
      </c>
      <c r="I190" s="3"/>
      <c r="J190" s="60">
        <f t="shared" si="21"/>
        <v>0</v>
      </c>
      <c r="K190" s="60">
        <f t="shared" si="15"/>
        <v>0</v>
      </c>
      <c r="L190" s="61">
        <f>K190*係数!$H$30</f>
        <v>0</v>
      </c>
      <c r="M190" s="61">
        <f>K190*係数!$C$30*0.0000258</f>
        <v>0</v>
      </c>
      <c r="N190" s="12"/>
      <c r="O190" s="3"/>
      <c r="P190" s="3"/>
      <c r="Q190" s="84" t="s">
        <v>382</v>
      </c>
      <c r="R190" s="3"/>
      <c r="S190" s="488">
        <f t="shared" si="16"/>
        <v>0</v>
      </c>
      <c r="T190" s="8">
        <f t="shared" si="17"/>
        <v>0</v>
      </c>
      <c r="U190" s="61">
        <f>T190*係数!$H$30</f>
        <v>0</v>
      </c>
      <c r="V190" s="61">
        <f>T190*係数!$C$30*0.0000258</f>
        <v>0</v>
      </c>
      <c r="W190" s="8">
        <f t="shared" si="18"/>
        <v>0</v>
      </c>
      <c r="X190" s="272">
        <f t="shared" si="19"/>
        <v>0</v>
      </c>
      <c r="Y190" s="489">
        <f t="shared" si="20"/>
        <v>0</v>
      </c>
    </row>
    <row r="191" spans="2:25">
      <c r="B191" s="100" t="s">
        <v>517</v>
      </c>
      <c r="C191" s="12"/>
      <c r="D191" s="3"/>
      <c r="E191" s="77"/>
      <c r="F191" s="62"/>
      <c r="G191" s="62"/>
      <c r="H191" s="84" t="s">
        <v>382</v>
      </c>
      <c r="I191" s="3"/>
      <c r="J191" s="60">
        <f t="shared" si="21"/>
        <v>0</v>
      </c>
      <c r="K191" s="60">
        <f t="shared" si="15"/>
        <v>0</v>
      </c>
      <c r="L191" s="61">
        <f>K191*係数!$H$30</f>
        <v>0</v>
      </c>
      <c r="M191" s="61">
        <f>K191*係数!$C$30*0.0000258</f>
        <v>0</v>
      </c>
      <c r="N191" s="12"/>
      <c r="O191" s="3"/>
      <c r="P191" s="3"/>
      <c r="Q191" s="84" t="s">
        <v>382</v>
      </c>
      <c r="R191" s="3"/>
      <c r="S191" s="488">
        <f t="shared" si="16"/>
        <v>0</v>
      </c>
      <c r="T191" s="8">
        <f t="shared" si="17"/>
        <v>0</v>
      </c>
      <c r="U191" s="61">
        <f>T191*係数!$H$30</f>
        <v>0</v>
      </c>
      <c r="V191" s="61">
        <f>T191*係数!$C$30*0.0000258</f>
        <v>0</v>
      </c>
      <c r="W191" s="8">
        <f t="shared" si="18"/>
        <v>0</v>
      </c>
      <c r="X191" s="272">
        <f t="shared" si="19"/>
        <v>0</v>
      </c>
      <c r="Y191" s="489">
        <f t="shared" si="20"/>
        <v>0</v>
      </c>
    </row>
    <row r="192" spans="2:25">
      <c r="B192" s="100" t="s">
        <v>518</v>
      </c>
      <c r="C192" s="12"/>
      <c r="D192" s="3"/>
      <c r="E192" s="77"/>
      <c r="F192" s="62"/>
      <c r="G192" s="62"/>
      <c r="H192" s="84" t="s">
        <v>382</v>
      </c>
      <c r="I192" s="3"/>
      <c r="J192" s="60">
        <f t="shared" si="21"/>
        <v>0</v>
      </c>
      <c r="K192" s="60">
        <f t="shared" si="15"/>
        <v>0</v>
      </c>
      <c r="L192" s="61">
        <f>K192*係数!$H$30</f>
        <v>0</v>
      </c>
      <c r="M192" s="61">
        <f>K192*係数!$C$30*0.0000258</f>
        <v>0</v>
      </c>
      <c r="N192" s="12"/>
      <c r="O192" s="3"/>
      <c r="P192" s="3"/>
      <c r="Q192" s="84" t="s">
        <v>382</v>
      </c>
      <c r="R192" s="3"/>
      <c r="S192" s="488">
        <f t="shared" si="16"/>
        <v>0</v>
      </c>
      <c r="T192" s="8">
        <f t="shared" si="17"/>
        <v>0</v>
      </c>
      <c r="U192" s="61">
        <f>T192*係数!$H$30</f>
        <v>0</v>
      </c>
      <c r="V192" s="61">
        <f>T192*係数!$C$30*0.0000258</f>
        <v>0</v>
      </c>
      <c r="W192" s="8">
        <f t="shared" si="18"/>
        <v>0</v>
      </c>
      <c r="X192" s="272">
        <f t="shared" si="19"/>
        <v>0</v>
      </c>
      <c r="Y192" s="489">
        <f t="shared" si="20"/>
        <v>0</v>
      </c>
    </row>
    <row r="193" spans="2:25">
      <c r="B193" s="100" t="s">
        <v>519</v>
      </c>
      <c r="C193" s="12"/>
      <c r="D193" s="3"/>
      <c r="E193" s="77"/>
      <c r="F193" s="62"/>
      <c r="G193" s="62"/>
      <c r="H193" s="84" t="s">
        <v>382</v>
      </c>
      <c r="I193" s="3"/>
      <c r="J193" s="60">
        <f t="shared" si="21"/>
        <v>0</v>
      </c>
      <c r="K193" s="60">
        <f t="shared" si="15"/>
        <v>0</v>
      </c>
      <c r="L193" s="61">
        <f>K193*係数!$H$30</f>
        <v>0</v>
      </c>
      <c r="M193" s="61">
        <f>K193*係数!$C$30*0.0000258</f>
        <v>0</v>
      </c>
      <c r="N193" s="12"/>
      <c r="O193" s="3"/>
      <c r="P193" s="3"/>
      <c r="Q193" s="84" t="s">
        <v>382</v>
      </c>
      <c r="R193" s="3"/>
      <c r="S193" s="488">
        <f t="shared" si="16"/>
        <v>0</v>
      </c>
      <c r="T193" s="8">
        <f t="shared" si="17"/>
        <v>0</v>
      </c>
      <c r="U193" s="61">
        <f>T193*係数!$H$30</f>
        <v>0</v>
      </c>
      <c r="V193" s="61">
        <f>T193*係数!$C$30*0.0000258</f>
        <v>0</v>
      </c>
      <c r="W193" s="8">
        <f t="shared" si="18"/>
        <v>0</v>
      </c>
      <c r="X193" s="272">
        <f t="shared" si="19"/>
        <v>0</v>
      </c>
      <c r="Y193" s="489">
        <f t="shared" si="20"/>
        <v>0</v>
      </c>
    </row>
    <row r="194" spans="2:25">
      <c r="B194" s="100" t="s">
        <v>520</v>
      </c>
      <c r="C194" s="12"/>
      <c r="D194" s="3"/>
      <c r="E194" s="77"/>
      <c r="F194" s="62"/>
      <c r="G194" s="62"/>
      <c r="H194" s="84" t="s">
        <v>382</v>
      </c>
      <c r="I194" s="3"/>
      <c r="J194" s="60">
        <f t="shared" si="21"/>
        <v>0</v>
      </c>
      <c r="K194" s="60">
        <f t="shared" si="15"/>
        <v>0</v>
      </c>
      <c r="L194" s="61">
        <f>K194*係数!$H$30</f>
        <v>0</v>
      </c>
      <c r="M194" s="61">
        <f>K194*係数!$C$30*0.0000258</f>
        <v>0</v>
      </c>
      <c r="N194" s="12"/>
      <c r="O194" s="3"/>
      <c r="P194" s="3"/>
      <c r="Q194" s="84" t="s">
        <v>382</v>
      </c>
      <c r="R194" s="3"/>
      <c r="S194" s="488">
        <f t="shared" si="16"/>
        <v>0</v>
      </c>
      <c r="T194" s="8">
        <f t="shared" si="17"/>
        <v>0</v>
      </c>
      <c r="U194" s="61">
        <f>T194*係数!$H$30</f>
        <v>0</v>
      </c>
      <c r="V194" s="61">
        <f>T194*係数!$C$30*0.0000258</f>
        <v>0</v>
      </c>
      <c r="W194" s="8">
        <f t="shared" si="18"/>
        <v>0</v>
      </c>
      <c r="X194" s="272">
        <f t="shared" si="19"/>
        <v>0</v>
      </c>
      <c r="Y194" s="489">
        <f t="shared" si="20"/>
        <v>0</v>
      </c>
    </row>
    <row r="195" spans="2:25">
      <c r="B195" s="100" t="s">
        <v>521</v>
      </c>
      <c r="C195" s="12"/>
      <c r="D195" s="3"/>
      <c r="E195" s="77"/>
      <c r="F195" s="62"/>
      <c r="G195" s="62"/>
      <c r="H195" s="84" t="s">
        <v>382</v>
      </c>
      <c r="I195" s="3"/>
      <c r="J195" s="60">
        <f t="shared" si="21"/>
        <v>0</v>
      </c>
      <c r="K195" s="60">
        <f t="shared" si="15"/>
        <v>0</v>
      </c>
      <c r="L195" s="61">
        <f>K195*係数!$H$30</f>
        <v>0</v>
      </c>
      <c r="M195" s="61">
        <f>K195*係数!$C$30*0.0000258</f>
        <v>0</v>
      </c>
      <c r="N195" s="12"/>
      <c r="O195" s="3"/>
      <c r="P195" s="3"/>
      <c r="Q195" s="84" t="s">
        <v>382</v>
      </c>
      <c r="R195" s="3"/>
      <c r="S195" s="488">
        <f t="shared" si="16"/>
        <v>0</v>
      </c>
      <c r="T195" s="8">
        <f t="shared" si="17"/>
        <v>0</v>
      </c>
      <c r="U195" s="61">
        <f>T195*係数!$H$30</f>
        <v>0</v>
      </c>
      <c r="V195" s="61">
        <f>T195*係数!$C$30*0.0000258</f>
        <v>0</v>
      </c>
      <c r="W195" s="8">
        <f t="shared" si="18"/>
        <v>0</v>
      </c>
      <c r="X195" s="272">
        <f t="shared" si="19"/>
        <v>0</v>
      </c>
      <c r="Y195" s="489">
        <f t="shared" si="20"/>
        <v>0</v>
      </c>
    </row>
    <row r="196" spans="2:25">
      <c r="B196" s="100" t="s">
        <v>522</v>
      </c>
      <c r="C196" s="12"/>
      <c r="D196" s="3"/>
      <c r="E196" s="77"/>
      <c r="F196" s="62"/>
      <c r="G196" s="62"/>
      <c r="H196" s="84" t="s">
        <v>382</v>
      </c>
      <c r="I196" s="3"/>
      <c r="J196" s="60">
        <f t="shared" si="21"/>
        <v>0</v>
      </c>
      <c r="K196" s="60">
        <f t="shared" si="15"/>
        <v>0</v>
      </c>
      <c r="L196" s="61">
        <f>K196*係数!$H$30</f>
        <v>0</v>
      </c>
      <c r="M196" s="61">
        <f>K196*係数!$C$30*0.0000258</f>
        <v>0</v>
      </c>
      <c r="N196" s="12"/>
      <c r="O196" s="3"/>
      <c r="P196" s="3"/>
      <c r="Q196" s="84" t="s">
        <v>382</v>
      </c>
      <c r="R196" s="3"/>
      <c r="S196" s="488">
        <f t="shared" si="16"/>
        <v>0</v>
      </c>
      <c r="T196" s="8">
        <f t="shared" si="17"/>
        <v>0</v>
      </c>
      <c r="U196" s="61">
        <f>T196*係数!$H$30</f>
        <v>0</v>
      </c>
      <c r="V196" s="61">
        <f>T196*係数!$C$30*0.0000258</f>
        <v>0</v>
      </c>
      <c r="W196" s="8">
        <f t="shared" si="18"/>
        <v>0</v>
      </c>
      <c r="X196" s="272">
        <f t="shared" si="19"/>
        <v>0</v>
      </c>
      <c r="Y196" s="489">
        <f t="shared" si="20"/>
        <v>0</v>
      </c>
    </row>
    <row r="197" spans="2:25">
      <c r="B197" s="100" t="s">
        <v>523</v>
      </c>
      <c r="C197" s="12"/>
      <c r="D197" s="3"/>
      <c r="E197" s="77"/>
      <c r="F197" s="62"/>
      <c r="G197" s="62"/>
      <c r="H197" s="84" t="s">
        <v>382</v>
      </c>
      <c r="I197" s="3"/>
      <c r="J197" s="60">
        <f t="shared" si="21"/>
        <v>0</v>
      </c>
      <c r="K197" s="60">
        <f t="shared" si="15"/>
        <v>0</v>
      </c>
      <c r="L197" s="61">
        <f>K197*係数!$H$30</f>
        <v>0</v>
      </c>
      <c r="M197" s="61">
        <f>K197*係数!$C$30*0.0000258</f>
        <v>0</v>
      </c>
      <c r="N197" s="12"/>
      <c r="O197" s="3"/>
      <c r="P197" s="3"/>
      <c r="Q197" s="84" t="s">
        <v>382</v>
      </c>
      <c r="R197" s="3"/>
      <c r="S197" s="488">
        <f t="shared" si="16"/>
        <v>0</v>
      </c>
      <c r="T197" s="8">
        <f t="shared" si="17"/>
        <v>0</v>
      </c>
      <c r="U197" s="61">
        <f>T197*係数!$H$30</f>
        <v>0</v>
      </c>
      <c r="V197" s="61">
        <f>T197*係数!$C$30*0.0000258</f>
        <v>0</v>
      </c>
      <c r="W197" s="8">
        <f t="shared" si="18"/>
        <v>0</v>
      </c>
      <c r="X197" s="272">
        <f t="shared" si="19"/>
        <v>0</v>
      </c>
      <c r="Y197" s="489">
        <f t="shared" si="20"/>
        <v>0</v>
      </c>
    </row>
    <row r="198" spans="2:25">
      <c r="B198" s="100" t="s">
        <v>524</v>
      </c>
      <c r="C198" s="12"/>
      <c r="D198" s="3"/>
      <c r="E198" s="77"/>
      <c r="F198" s="62"/>
      <c r="G198" s="62"/>
      <c r="H198" s="84" t="s">
        <v>382</v>
      </c>
      <c r="I198" s="3"/>
      <c r="J198" s="60">
        <f t="shared" si="21"/>
        <v>0</v>
      </c>
      <c r="K198" s="60">
        <f t="shared" si="15"/>
        <v>0</v>
      </c>
      <c r="L198" s="61">
        <f>K198*係数!$H$30</f>
        <v>0</v>
      </c>
      <c r="M198" s="61">
        <f>K198*係数!$C$30*0.0000258</f>
        <v>0</v>
      </c>
      <c r="N198" s="12"/>
      <c r="O198" s="3"/>
      <c r="P198" s="3"/>
      <c r="Q198" s="84" t="s">
        <v>382</v>
      </c>
      <c r="R198" s="3"/>
      <c r="S198" s="488">
        <f t="shared" si="16"/>
        <v>0</v>
      </c>
      <c r="T198" s="8">
        <f t="shared" si="17"/>
        <v>0</v>
      </c>
      <c r="U198" s="61">
        <f>T198*係数!$H$30</f>
        <v>0</v>
      </c>
      <c r="V198" s="61">
        <f>T198*係数!$C$30*0.0000258</f>
        <v>0</v>
      </c>
      <c r="W198" s="8">
        <f t="shared" si="18"/>
        <v>0</v>
      </c>
      <c r="X198" s="272">
        <f t="shared" si="19"/>
        <v>0</v>
      </c>
      <c r="Y198" s="489">
        <f t="shared" si="20"/>
        <v>0</v>
      </c>
    </row>
    <row r="199" spans="2:25">
      <c r="B199" s="100" t="s">
        <v>525</v>
      </c>
      <c r="C199" s="12"/>
      <c r="D199" s="3"/>
      <c r="E199" s="77"/>
      <c r="F199" s="62"/>
      <c r="G199" s="62"/>
      <c r="H199" s="84" t="s">
        <v>382</v>
      </c>
      <c r="I199" s="3"/>
      <c r="J199" s="60">
        <f t="shared" si="21"/>
        <v>0</v>
      </c>
      <c r="K199" s="60">
        <f t="shared" si="15"/>
        <v>0</v>
      </c>
      <c r="L199" s="61">
        <f>K199*係数!$H$30</f>
        <v>0</v>
      </c>
      <c r="M199" s="61">
        <f>K199*係数!$C$30*0.0000258</f>
        <v>0</v>
      </c>
      <c r="N199" s="12"/>
      <c r="O199" s="3"/>
      <c r="P199" s="3"/>
      <c r="Q199" s="84" t="s">
        <v>382</v>
      </c>
      <c r="R199" s="3"/>
      <c r="S199" s="488">
        <f t="shared" si="16"/>
        <v>0</v>
      </c>
      <c r="T199" s="8">
        <f t="shared" si="17"/>
        <v>0</v>
      </c>
      <c r="U199" s="61">
        <f>T199*係数!$H$30</f>
        <v>0</v>
      </c>
      <c r="V199" s="61">
        <f>T199*係数!$C$30*0.0000258</f>
        <v>0</v>
      </c>
      <c r="W199" s="8">
        <f t="shared" si="18"/>
        <v>0</v>
      </c>
      <c r="X199" s="272">
        <f t="shared" si="19"/>
        <v>0</v>
      </c>
      <c r="Y199" s="489">
        <f t="shared" si="20"/>
        <v>0</v>
      </c>
    </row>
    <row r="200" spans="2:25">
      <c r="B200" s="100" t="s">
        <v>526</v>
      </c>
      <c r="C200" s="12"/>
      <c r="D200" s="3"/>
      <c r="E200" s="77"/>
      <c r="F200" s="62"/>
      <c r="G200" s="62"/>
      <c r="H200" s="84" t="s">
        <v>382</v>
      </c>
      <c r="I200" s="3"/>
      <c r="J200" s="60">
        <f t="shared" si="21"/>
        <v>0</v>
      </c>
      <c r="K200" s="60">
        <f t="shared" si="15"/>
        <v>0</v>
      </c>
      <c r="L200" s="61">
        <f>K200*係数!$H$30</f>
        <v>0</v>
      </c>
      <c r="M200" s="61">
        <f>K200*係数!$C$30*0.0000258</f>
        <v>0</v>
      </c>
      <c r="N200" s="12"/>
      <c r="O200" s="3"/>
      <c r="P200" s="3"/>
      <c r="Q200" s="84" t="s">
        <v>382</v>
      </c>
      <c r="R200" s="3"/>
      <c r="S200" s="488">
        <f t="shared" si="16"/>
        <v>0</v>
      </c>
      <c r="T200" s="8">
        <f t="shared" si="17"/>
        <v>0</v>
      </c>
      <c r="U200" s="61">
        <f>T200*係数!$H$30</f>
        <v>0</v>
      </c>
      <c r="V200" s="61">
        <f>T200*係数!$C$30*0.0000258</f>
        <v>0</v>
      </c>
      <c r="W200" s="8">
        <f t="shared" si="18"/>
        <v>0</v>
      </c>
      <c r="X200" s="272">
        <f t="shared" si="19"/>
        <v>0</v>
      </c>
      <c r="Y200" s="489">
        <f t="shared" si="20"/>
        <v>0</v>
      </c>
    </row>
    <row r="201" spans="2:25">
      <c r="B201" s="100" t="s">
        <v>527</v>
      </c>
      <c r="C201" s="12"/>
      <c r="D201" s="3"/>
      <c r="E201" s="77"/>
      <c r="F201" s="62"/>
      <c r="G201" s="62"/>
      <c r="H201" s="84" t="s">
        <v>382</v>
      </c>
      <c r="I201" s="3"/>
      <c r="J201" s="60">
        <f t="shared" si="21"/>
        <v>0</v>
      </c>
      <c r="K201" s="60">
        <f t="shared" si="15"/>
        <v>0</v>
      </c>
      <c r="L201" s="61">
        <f>K201*係数!$H$30</f>
        <v>0</v>
      </c>
      <c r="M201" s="61">
        <f>K201*係数!$C$30*0.0000258</f>
        <v>0</v>
      </c>
      <c r="N201" s="12"/>
      <c r="O201" s="3"/>
      <c r="P201" s="3"/>
      <c r="Q201" s="84" t="s">
        <v>382</v>
      </c>
      <c r="R201" s="3"/>
      <c r="S201" s="488">
        <f t="shared" si="16"/>
        <v>0</v>
      </c>
      <c r="T201" s="8">
        <f t="shared" si="17"/>
        <v>0</v>
      </c>
      <c r="U201" s="61">
        <f>T201*係数!$H$30</f>
        <v>0</v>
      </c>
      <c r="V201" s="61">
        <f>T201*係数!$C$30*0.0000258</f>
        <v>0</v>
      </c>
      <c r="W201" s="8">
        <f t="shared" si="18"/>
        <v>0</v>
      </c>
      <c r="X201" s="272">
        <f t="shared" si="19"/>
        <v>0</v>
      </c>
      <c r="Y201" s="489">
        <f t="shared" si="20"/>
        <v>0</v>
      </c>
    </row>
    <row r="202" spans="2:25">
      <c r="B202" s="100" t="s">
        <v>528</v>
      </c>
      <c r="C202" s="12"/>
      <c r="D202" s="3"/>
      <c r="E202" s="77"/>
      <c r="F202" s="62"/>
      <c r="G202" s="62"/>
      <c r="H202" s="84" t="s">
        <v>382</v>
      </c>
      <c r="I202" s="3"/>
      <c r="J202" s="60">
        <f t="shared" si="21"/>
        <v>0</v>
      </c>
      <c r="K202" s="60">
        <f t="shared" si="15"/>
        <v>0</v>
      </c>
      <c r="L202" s="61">
        <f>K202*係数!$H$30</f>
        <v>0</v>
      </c>
      <c r="M202" s="61">
        <f>K202*係数!$C$30*0.0000258</f>
        <v>0</v>
      </c>
      <c r="N202" s="12"/>
      <c r="O202" s="3"/>
      <c r="P202" s="3"/>
      <c r="Q202" s="84" t="s">
        <v>382</v>
      </c>
      <c r="R202" s="3"/>
      <c r="S202" s="488">
        <f t="shared" si="16"/>
        <v>0</v>
      </c>
      <c r="T202" s="8">
        <f t="shared" si="17"/>
        <v>0</v>
      </c>
      <c r="U202" s="61">
        <f>T202*係数!$H$30</f>
        <v>0</v>
      </c>
      <c r="V202" s="61">
        <f>T202*係数!$C$30*0.0000258</f>
        <v>0</v>
      </c>
      <c r="W202" s="8">
        <f t="shared" si="18"/>
        <v>0</v>
      </c>
      <c r="X202" s="272">
        <f t="shared" si="19"/>
        <v>0</v>
      </c>
      <c r="Y202" s="489">
        <f t="shared" si="20"/>
        <v>0</v>
      </c>
    </row>
    <row r="203" spans="2:25">
      <c r="B203" s="100" t="s">
        <v>529</v>
      </c>
      <c r="C203" s="12"/>
      <c r="D203" s="3"/>
      <c r="E203" s="77"/>
      <c r="F203" s="62"/>
      <c r="G203" s="62"/>
      <c r="H203" s="84" t="s">
        <v>382</v>
      </c>
      <c r="I203" s="3"/>
      <c r="J203" s="60">
        <f t="shared" si="21"/>
        <v>0</v>
      </c>
      <c r="K203" s="60">
        <f t="shared" si="15"/>
        <v>0</v>
      </c>
      <c r="L203" s="61">
        <f>K203*係数!$H$30</f>
        <v>0</v>
      </c>
      <c r="M203" s="61">
        <f>K203*係数!$C$30*0.0000258</f>
        <v>0</v>
      </c>
      <c r="N203" s="12"/>
      <c r="O203" s="3"/>
      <c r="P203" s="3"/>
      <c r="Q203" s="84" t="s">
        <v>382</v>
      </c>
      <c r="R203" s="3"/>
      <c r="S203" s="488">
        <f t="shared" si="16"/>
        <v>0</v>
      </c>
      <c r="T203" s="8">
        <f t="shared" si="17"/>
        <v>0</v>
      </c>
      <c r="U203" s="61">
        <f>T203*係数!$H$30</f>
        <v>0</v>
      </c>
      <c r="V203" s="61">
        <f>T203*係数!$C$30*0.0000258</f>
        <v>0</v>
      </c>
      <c r="W203" s="8">
        <f t="shared" si="18"/>
        <v>0</v>
      </c>
      <c r="X203" s="272">
        <f t="shared" si="19"/>
        <v>0</v>
      </c>
      <c r="Y203" s="489">
        <f t="shared" si="20"/>
        <v>0</v>
      </c>
    </row>
    <row r="204" spans="2:25">
      <c r="B204" s="100" t="s">
        <v>530</v>
      </c>
      <c r="C204" s="12"/>
      <c r="D204" s="3"/>
      <c r="E204" s="77"/>
      <c r="F204" s="62"/>
      <c r="G204" s="62"/>
      <c r="H204" s="84" t="s">
        <v>382</v>
      </c>
      <c r="I204" s="3"/>
      <c r="J204" s="60">
        <f t="shared" si="21"/>
        <v>0</v>
      </c>
      <c r="K204" s="60">
        <f t="shared" si="15"/>
        <v>0</v>
      </c>
      <c r="L204" s="61">
        <f>K204*係数!$H$30</f>
        <v>0</v>
      </c>
      <c r="M204" s="61">
        <f>K204*係数!$C$30*0.0000258</f>
        <v>0</v>
      </c>
      <c r="N204" s="12"/>
      <c r="O204" s="3"/>
      <c r="P204" s="3"/>
      <c r="Q204" s="84" t="s">
        <v>382</v>
      </c>
      <c r="R204" s="3"/>
      <c r="S204" s="488">
        <f t="shared" si="16"/>
        <v>0</v>
      </c>
      <c r="T204" s="8">
        <f t="shared" si="17"/>
        <v>0</v>
      </c>
      <c r="U204" s="61">
        <f>T204*係数!$H$30</f>
        <v>0</v>
      </c>
      <c r="V204" s="61">
        <f>T204*係数!$C$30*0.0000258</f>
        <v>0</v>
      </c>
      <c r="W204" s="8">
        <f t="shared" si="18"/>
        <v>0</v>
      </c>
      <c r="X204" s="272">
        <f t="shared" si="19"/>
        <v>0</v>
      </c>
      <c r="Y204" s="489">
        <f t="shared" si="20"/>
        <v>0</v>
      </c>
    </row>
    <row r="205" spans="2:25">
      <c r="B205" s="100" t="s">
        <v>531</v>
      </c>
      <c r="C205" s="12"/>
      <c r="D205" s="3"/>
      <c r="E205" s="77"/>
      <c r="F205" s="62"/>
      <c r="G205" s="62"/>
      <c r="H205" s="84" t="s">
        <v>382</v>
      </c>
      <c r="I205" s="3"/>
      <c r="J205" s="60">
        <f t="shared" si="21"/>
        <v>0</v>
      </c>
      <c r="K205" s="60">
        <f t="shared" si="15"/>
        <v>0</v>
      </c>
      <c r="L205" s="61">
        <f>K205*係数!$H$30</f>
        <v>0</v>
      </c>
      <c r="M205" s="61">
        <f>K205*係数!$C$30*0.0000258</f>
        <v>0</v>
      </c>
      <c r="N205" s="12"/>
      <c r="O205" s="3"/>
      <c r="P205" s="3"/>
      <c r="Q205" s="84" t="s">
        <v>382</v>
      </c>
      <c r="R205" s="3"/>
      <c r="S205" s="488">
        <f t="shared" si="16"/>
        <v>0</v>
      </c>
      <c r="T205" s="8">
        <f t="shared" si="17"/>
        <v>0</v>
      </c>
      <c r="U205" s="61">
        <f>T205*係数!$H$30</f>
        <v>0</v>
      </c>
      <c r="V205" s="61">
        <f>T205*係数!$C$30*0.0000258</f>
        <v>0</v>
      </c>
      <c r="W205" s="8">
        <f t="shared" si="18"/>
        <v>0</v>
      </c>
      <c r="X205" s="272">
        <f t="shared" si="19"/>
        <v>0</v>
      </c>
      <c r="Y205" s="489">
        <f t="shared" si="20"/>
        <v>0</v>
      </c>
    </row>
    <row r="206" spans="2:25">
      <c r="B206" s="100" t="s">
        <v>532</v>
      </c>
      <c r="C206" s="12"/>
      <c r="D206" s="3"/>
      <c r="E206" s="77"/>
      <c r="F206" s="62"/>
      <c r="G206" s="62"/>
      <c r="H206" s="84" t="s">
        <v>382</v>
      </c>
      <c r="I206" s="3"/>
      <c r="J206" s="60">
        <f t="shared" si="21"/>
        <v>0</v>
      </c>
      <c r="K206" s="60">
        <f t="shared" si="15"/>
        <v>0</v>
      </c>
      <c r="L206" s="61">
        <f>K206*係数!$H$30</f>
        <v>0</v>
      </c>
      <c r="M206" s="61">
        <f>K206*係数!$C$30*0.0000258</f>
        <v>0</v>
      </c>
      <c r="N206" s="12"/>
      <c r="O206" s="3"/>
      <c r="P206" s="3"/>
      <c r="Q206" s="84" t="s">
        <v>382</v>
      </c>
      <c r="R206" s="3"/>
      <c r="S206" s="488">
        <f t="shared" si="16"/>
        <v>0</v>
      </c>
      <c r="T206" s="8">
        <f t="shared" si="17"/>
        <v>0</v>
      </c>
      <c r="U206" s="61">
        <f>T206*係数!$H$30</f>
        <v>0</v>
      </c>
      <c r="V206" s="61">
        <f>T206*係数!$C$30*0.0000258</f>
        <v>0</v>
      </c>
      <c r="W206" s="8">
        <f t="shared" si="18"/>
        <v>0</v>
      </c>
      <c r="X206" s="272">
        <f t="shared" si="19"/>
        <v>0</v>
      </c>
      <c r="Y206" s="489">
        <f t="shared" si="20"/>
        <v>0</v>
      </c>
    </row>
    <row r="207" spans="2:25">
      <c r="B207" s="100" t="s">
        <v>533</v>
      </c>
      <c r="C207" s="12"/>
      <c r="D207" s="3"/>
      <c r="E207" s="77"/>
      <c r="F207" s="62"/>
      <c r="G207" s="62"/>
      <c r="H207" s="84" t="s">
        <v>382</v>
      </c>
      <c r="I207" s="3"/>
      <c r="J207" s="60">
        <f t="shared" si="21"/>
        <v>0</v>
      </c>
      <c r="K207" s="60">
        <f t="shared" si="15"/>
        <v>0</v>
      </c>
      <c r="L207" s="61">
        <f>K207*係数!$H$30</f>
        <v>0</v>
      </c>
      <c r="M207" s="61">
        <f>K207*係数!$C$30*0.0000258</f>
        <v>0</v>
      </c>
      <c r="N207" s="12"/>
      <c r="O207" s="3"/>
      <c r="P207" s="3"/>
      <c r="Q207" s="84" t="s">
        <v>382</v>
      </c>
      <c r="R207" s="3"/>
      <c r="S207" s="488">
        <f t="shared" si="16"/>
        <v>0</v>
      </c>
      <c r="T207" s="8">
        <f t="shared" si="17"/>
        <v>0</v>
      </c>
      <c r="U207" s="61">
        <f>T207*係数!$H$30</f>
        <v>0</v>
      </c>
      <c r="V207" s="61">
        <f>T207*係数!$C$30*0.0000258</f>
        <v>0</v>
      </c>
      <c r="W207" s="8">
        <f t="shared" si="18"/>
        <v>0</v>
      </c>
      <c r="X207" s="272">
        <f t="shared" si="19"/>
        <v>0</v>
      </c>
      <c r="Y207" s="489">
        <f t="shared" si="20"/>
        <v>0</v>
      </c>
    </row>
    <row r="208" spans="2:25">
      <c r="B208" s="100" t="s">
        <v>534</v>
      </c>
      <c r="C208" s="12"/>
      <c r="D208" s="3"/>
      <c r="E208" s="77"/>
      <c r="F208" s="62"/>
      <c r="G208" s="62"/>
      <c r="H208" s="84" t="s">
        <v>382</v>
      </c>
      <c r="I208" s="3"/>
      <c r="J208" s="60">
        <f t="shared" si="21"/>
        <v>0</v>
      </c>
      <c r="K208" s="60">
        <f t="shared" si="15"/>
        <v>0</v>
      </c>
      <c r="L208" s="61">
        <f>K208*係数!$H$30</f>
        <v>0</v>
      </c>
      <c r="M208" s="61">
        <f>K208*係数!$C$30*0.0000258</f>
        <v>0</v>
      </c>
      <c r="N208" s="12"/>
      <c r="O208" s="3"/>
      <c r="P208" s="3"/>
      <c r="Q208" s="84" t="s">
        <v>382</v>
      </c>
      <c r="R208" s="3"/>
      <c r="S208" s="488">
        <f t="shared" si="16"/>
        <v>0</v>
      </c>
      <c r="T208" s="8">
        <f t="shared" si="17"/>
        <v>0</v>
      </c>
      <c r="U208" s="61">
        <f>T208*係数!$H$30</f>
        <v>0</v>
      </c>
      <c r="V208" s="61">
        <f>T208*係数!$C$30*0.0000258</f>
        <v>0</v>
      </c>
      <c r="W208" s="8">
        <f t="shared" si="18"/>
        <v>0</v>
      </c>
      <c r="X208" s="272">
        <f t="shared" si="19"/>
        <v>0</v>
      </c>
      <c r="Y208" s="489">
        <f t="shared" si="20"/>
        <v>0</v>
      </c>
    </row>
    <row r="209" spans="2:25">
      <c r="B209" s="100" t="s">
        <v>535</v>
      </c>
      <c r="C209" s="12"/>
      <c r="D209" s="3"/>
      <c r="E209" s="77"/>
      <c r="F209" s="62"/>
      <c r="G209" s="62"/>
      <c r="H209" s="84" t="s">
        <v>382</v>
      </c>
      <c r="I209" s="3"/>
      <c r="J209" s="60">
        <f t="shared" si="21"/>
        <v>0</v>
      </c>
      <c r="K209" s="60">
        <f t="shared" si="15"/>
        <v>0</v>
      </c>
      <c r="L209" s="61">
        <f>K209*係数!$H$30</f>
        <v>0</v>
      </c>
      <c r="M209" s="61">
        <f>K209*係数!$C$30*0.0000258</f>
        <v>0</v>
      </c>
      <c r="N209" s="12"/>
      <c r="O209" s="3"/>
      <c r="P209" s="3"/>
      <c r="Q209" s="84" t="s">
        <v>382</v>
      </c>
      <c r="R209" s="3"/>
      <c r="S209" s="488">
        <f t="shared" si="16"/>
        <v>0</v>
      </c>
      <c r="T209" s="8">
        <f t="shared" si="17"/>
        <v>0</v>
      </c>
      <c r="U209" s="61">
        <f>T209*係数!$H$30</f>
        <v>0</v>
      </c>
      <c r="V209" s="61">
        <f>T209*係数!$C$30*0.0000258</f>
        <v>0</v>
      </c>
      <c r="W209" s="8">
        <f t="shared" si="18"/>
        <v>0</v>
      </c>
      <c r="X209" s="272">
        <f t="shared" si="19"/>
        <v>0</v>
      </c>
      <c r="Y209" s="489">
        <f t="shared" si="20"/>
        <v>0</v>
      </c>
    </row>
    <row r="210" spans="2:25">
      <c r="B210" s="100" t="s">
        <v>536</v>
      </c>
      <c r="C210" s="12"/>
      <c r="D210" s="3"/>
      <c r="E210" s="77"/>
      <c r="F210" s="62"/>
      <c r="G210" s="62"/>
      <c r="H210" s="84" t="s">
        <v>382</v>
      </c>
      <c r="I210" s="3"/>
      <c r="J210" s="60">
        <f t="shared" si="21"/>
        <v>0</v>
      </c>
      <c r="K210" s="60">
        <f t="shared" si="15"/>
        <v>0</v>
      </c>
      <c r="L210" s="61">
        <f>K210*係数!$H$30</f>
        <v>0</v>
      </c>
      <c r="M210" s="61">
        <f>K210*係数!$C$30*0.0000258</f>
        <v>0</v>
      </c>
      <c r="N210" s="12"/>
      <c r="O210" s="3"/>
      <c r="P210" s="3"/>
      <c r="Q210" s="84" t="s">
        <v>382</v>
      </c>
      <c r="R210" s="3"/>
      <c r="S210" s="488">
        <f t="shared" si="16"/>
        <v>0</v>
      </c>
      <c r="T210" s="8">
        <f t="shared" si="17"/>
        <v>0</v>
      </c>
      <c r="U210" s="61">
        <f>T210*係数!$H$30</f>
        <v>0</v>
      </c>
      <c r="V210" s="61">
        <f>T210*係数!$C$30*0.0000258</f>
        <v>0</v>
      </c>
      <c r="W210" s="8">
        <f t="shared" si="18"/>
        <v>0</v>
      </c>
      <c r="X210" s="272">
        <f t="shared" si="19"/>
        <v>0</v>
      </c>
      <c r="Y210" s="489">
        <f t="shared" si="20"/>
        <v>0</v>
      </c>
    </row>
    <row r="211" spans="2:25">
      <c r="B211" s="100" t="s">
        <v>537</v>
      </c>
      <c r="C211" s="12"/>
      <c r="D211" s="3"/>
      <c r="E211" s="77"/>
      <c r="F211" s="62"/>
      <c r="G211" s="62"/>
      <c r="H211" s="84" t="s">
        <v>382</v>
      </c>
      <c r="I211" s="3"/>
      <c r="J211" s="60">
        <f t="shared" si="21"/>
        <v>0</v>
      </c>
      <c r="K211" s="60">
        <f t="shared" si="15"/>
        <v>0</v>
      </c>
      <c r="L211" s="61">
        <f>K211*係数!$H$30</f>
        <v>0</v>
      </c>
      <c r="M211" s="61">
        <f>K211*係数!$C$30*0.0000258</f>
        <v>0</v>
      </c>
      <c r="N211" s="12"/>
      <c r="O211" s="3"/>
      <c r="P211" s="3"/>
      <c r="Q211" s="84" t="s">
        <v>382</v>
      </c>
      <c r="R211" s="3"/>
      <c r="S211" s="488">
        <f t="shared" si="16"/>
        <v>0</v>
      </c>
      <c r="T211" s="8">
        <f t="shared" si="17"/>
        <v>0</v>
      </c>
      <c r="U211" s="61">
        <f>T211*係数!$H$30</f>
        <v>0</v>
      </c>
      <c r="V211" s="61">
        <f>T211*係数!$C$30*0.0000258</f>
        <v>0</v>
      </c>
      <c r="W211" s="8">
        <f t="shared" si="18"/>
        <v>0</v>
      </c>
      <c r="X211" s="272">
        <f t="shared" si="19"/>
        <v>0</v>
      </c>
      <c r="Y211" s="489">
        <f t="shared" si="20"/>
        <v>0</v>
      </c>
    </row>
    <row r="212" spans="2:25">
      <c r="B212" s="100" t="s">
        <v>538</v>
      </c>
      <c r="C212" s="12"/>
      <c r="D212" s="3"/>
      <c r="E212" s="77"/>
      <c r="F212" s="62"/>
      <c r="G212" s="62"/>
      <c r="H212" s="84" t="s">
        <v>382</v>
      </c>
      <c r="I212" s="3"/>
      <c r="J212" s="60">
        <f t="shared" si="21"/>
        <v>0</v>
      </c>
      <c r="K212" s="60">
        <f t="shared" ref="K212:K275" si="22">E212*D212*J212/1000</f>
        <v>0</v>
      </c>
      <c r="L212" s="61">
        <f>K212*係数!$H$30</f>
        <v>0</v>
      </c>
      <c r="M212" s="61">
        <f>K212*係数!$C$30*0.0000258</f>
        <v>0</v>
      </c>
      <c r="N212" s="12"/>
      <c r="O212" s="3"/>
      <c r="P212" s="3"/>
      <c r="Q212" s="84" t="s">
        <v>382</v>
      </c>
      <c r="R212" s="3"/>
      <c r="S212" s="488">
        <f t="shared" ref="S212:S275" si="23">IF(Q212="○",F212*G212*R212/100,F212*G212)</f>
        <v>0</v>
      </c>
      <c r="T212" s="8">
        <f t="shared" ref="T212:T275" si="24">P212*O212*S212/1000</f>
        <v>0</v>
      </c>
      <c r="U212" s="61">
        <f>T212*係数!$H$30</f>
        <v>0</v>
      </c>
      <c r="V212" s="61">
        <f>T212*係数!$C$30*0.0000258</f>
        <v>0</v>
      </c>
      <c r="W212" s="8">
        <f t="shared" ref="W212:W275" si="25">K212-T212</f>
        <v>0</v>
      </c>
      <c r="X212" s="272">
        <f t="shared" ref="X212:X275" si="26">L212-U212</f>
        <v>0</v>
      </c>
      <c r="Y212" s="489">
        <f t="shared" ref="Y212:Y275" si="27">M212-V212</f>
        <v>0</v>
      </c>
    </row>
    <row r="213" spans="2:25">
      <c r="B213" s="100" t="s">
        <v>539</v>
      </c>
      <c r="C213" s="12"/>
      <c r="D213" s="3"/>
      <c r="E213" s="77"/>
      <c r="F213" s="62"/>
      <c r="G213" s="62"/>
      <c r="H213" s="84" t="s">
        <v>382</v>
      </c>
      <c r="I213" s="3"/>
      <c r="J213" s="60">
        <f t="shared" ref="J213:J276" si="28">IF(H213="○",F213*G213*I213/100,F213*G213)</f>
        <v>0</v>
      </c>
      <c r="K213" s="60">
        <f t="shared" si="22"/>
        <v>0</v>
      </c>
      <c r="L213" s="61">
        <f>K213*係数!$H$30</f>
        <v>0</v>
      </c>
      <c r="M213" s="61">
        <f>K213*係数!$C$30*0.0000258</f>
        <v>0</v>
      </c>
      <c r="N213" s="12"/>
      <c r="O213" s="3"/>
      <c r="P213" s="3"/>
      <c r="Q213" s="84" t="s">
        <v>382</v>
      </c>
      <c r="R213" s="3"/>
      <c r="S213" s="488">
        <f t="shared" si="23"/>
        <v>0</v>
      </c>
      <c r="T213" s="8">
        <f t="shared" si="24"/>
        <v>0</v>
      </c>
      <c r="U213" s="61">
        <f>T213*係数!$H$30</f>
        <v>0</v>
      </c>
      <c r="V213" s="61">
        <f>T213*係数!$C$30*0.0000258</f>
        <v>0</v>
      </c>
      <c r="W213" s="8">
        <f t="shared" si="25"/>
        <v>0</v>
      </c>
      <c r="X213" s="272">
        <f t="shared" si="26"/>
        <v>0</v>
      </c>
      <c r="Y213" s="489">
        <f t="shared" si="27"/>
        <v>0</v>
      </c>
    </row>
    <row r="214" spans="2:25">
      <c r="B214" s="100" t="s">
        <v>540</v>
      </c>
      <c r="C214" s="12"/>
      <c r="D214" s="3"/>
      <c r="E214" s="77"/>
      <c r="F214" s="62"/>
      <c r="G214" s="62"/>
      <c r="H214" s="84" t="s">
        <v>382</v>
      </c>
      <c r="I214" s="3"/>
      <c r="J214" s="60">
        <f t="shared" si="28"/>
        <v>0</v>
      </c>
      <c r="K214" s="60">
        <f t="shared" si="22"/>
        <v>0</v>
      </c>
      <c r="L214" s="61">
        <f>K214*係数!$H$30</f>
        <v>0</v>
      </c>
      <c r="M214" s="61">
        <f>K214*係数!$C$30*0.0000258</f>
        <v>0</v>
      </c>
      <c r="N214" s="12"/>
      <c r="O214" s="3"/>
      <c r="P214" s="3"/>
      <c r="Q214" s="84" t="s">
        <v>382</v>
      </c>
      <c r="R214" s="3"/>
      <c r="S214" s="488">
        <f t="shared" si="23"/>
        <v>0</v>
      </c>
      <c r="T214" s="8">
        <f t="shared" si="24"/>
        <v>0</v>
      </c>
      <c r="U214" s="61">
        <f>T214*係数!$H$30</f>
        <v>0</v>
      </c>
      <c r="V214" s="61">
        <f>T214*係数!$C$30*0.0000258</f>
        <v>0</v>
      </c>
      <c r="W214" s="8">
        <f t="shared" si="25"/>
        <v>0</v>
      </c>
      <c r="X214" s="272">
        <f t="shared" si="26"/>
        <v>0</v>
      </c>
      <c r="Y214" s="489">
        <f t="shared" si="27"/>
        <v>0</v>
      </c>
    </row>
    <row r="215" spans="2:25">
      <c r="B215" s="100" t="s">
        <v>541</v>
      </c>
      <c r="C215" s="12"/>
      <c r="D215" s="3"/>
      <c r="E215" s="77"/>
      <c r="F215" s="62"/>
      <c r="G215" s="62"/>
      <c r="H215" s="84" t="s">
        <v>382</v>
      </c>
      <c r="I215" s="3"/>
      <c r="J215" s="60">
        <f t="shared" si="28"/>
        <v>0</v>
      </c>
      <c r="K215" s="60">
        <f t="shared" si="22"/>
        <v>0</v>
      </c>
      <c r="L215" s="61">
        <f>K215*係数!$H$30</f>
        <v>0</v>
      </c>
      <c r="M215" s="61">
        <f>K215*係数!$C$30*0.0000258</f>
        <v>0</v>
      </c>
      <c r="N215" s="12"/>
      <c r="O215" s="3"/>
      <c r="P215" s="3"/>
      <c r="Q215" s="84" t="s">
        <v>382</v>
      </c>
      <c r="R215" s="3"/>
      <c r="S215" s="488">
        <f t="shared" si="23"/>
        <v>0</v>
      </c>
      <c r="T215" s="8">
        <f t="shared" si="24"/>
        <v>0</v>
      </c>
      <c r="U215" s="61">
        <f>T215*係数!$H$30</f>
        <v>0</v>
      </c>
      <c r="V215" s="61">
        <f>T215*係数!$C$30*0.0000258</f>
        <v>0</v>
      </c>
      <c r="W215" s="8">
        <f t="shared" si="25"/>
        <v>0</v>
      </c>
      <c r="X215" s="272">
        <f t="shared" si="26"/>
        <v>0</v>
      </c>
      <c r="Y215" s="489">
        <f t="shared" si="27"/>
        <v>0</v>
      </c>
    </row>
    <row r="216" spans="2:25">
      <c r="B216" s="100" t="s">
        <v>542</v>
      </c>
      <c r="C216" s="12"/>
      <c r="D216" s="3"/>
      <c r="E216" s="77"/>
      <c r="F216" s="62"/>
      <c r="G216" s="62"/>
      <c r="H216" s="84" t="s">
        <v>382</v>
      </c>
      <c r="I216" s="3"/>
      <c r="J216" s="60">
        <f t="shared" si="28"/>
        <v>0</v>
      </c>
      <c r="K216" s="60">
        <f t="shared" si="22"/>
        <v>0</v>
      </c>
      <c r="L216" s="61">
        <f>K216*係数!$H$30</f>
        <v>0</v>
      </c>
      <c r="M216" s="61">
        <f>K216*係数!$C$30*0.0000258</f>
        <v>0</v>
      </c>
      <c r="N216" s="12"/>
      <c r="O216" s="3"/>
      <c r="P216" s="3"/>
      <c r="Q216" s="84" t="s">
        <v>382</v>
      </c>
      <c r="R216" s="3"/>
      <c r="S216" s="488">
        <f t="shared" si="23"/>
        <v>0</v>
      </c>
      <c r="T216" s="8">
        <f t="shared" si="24"/>
        <v>0</v>
      </c>
      <c r="U216" s="61">
        <f>T216*係数!$H$30</f>
        <v>0</v>
      </c>
      <c r="V216" s="61">
        <f>T216*係数!$C$30*0.0000258</f>
        <v>0</v>
      </c>
      <c r="W216" s="8">
        <f t="shared" si="25"/>
        <v>0</v>
      </c>
      <c r="X216" s="272">
        <f t="shared" si="26"/>
        <v>0</v>
      </c>
      <c r="Y216" s="489">
        <f t="shared" si="27"/>
        <v>0</v>
      </c>
    </row>
    <row r="217" spans="2:25">
      <c r="B217" s="100" t="s">
        <v>543</v>
      </c>
      <c r="C217" s="12"/>
      <c r="D217" s="3"/>
      <c r="E217" s="77"/>
      <c r="F217" s="62"/>
      <c r="G217" s="62"/>
      <c r="H217" s="84" t="s">
        <v>382</v>
      </c>
      <c r="I217" s="3"/>
      <c r="J217" s="60">
        <f t="shared" si="28"/>
        <v>0</v>
      </c>
      <c r="K217" s="60">
        <f t="shared" si="22"/>
        <v>0</v>
      </c>
      <c r="L217" s="61">
        <f>K217*係数!$H$30</f>
        <v>0</v>
      </c>
      <c r="M217" s="61">
        <f>K217*係数!$C$30*0.0000258</f>
        <v>0</v>
      </c>
      <c r="N217" s="12"/>
      <c r="O217" s="3"/>
      <c r="P217" s="3"/>
      <c r="Q217" s="84" t="s">
        <v>382</v>
      </c>
      <c r="R217" s="3"/>
      <c r="S217" s="488">
        <f t="shared" si="23"/>
        <v>0</v>
      </c>
      <c r="T217" s="8">
        <f t="shared" si="24"/>
        <v>0</v>
      </c>
      <c r="U217" s="61">
        <f>T217*係数!$H$30</f>
        <v>0</v>
      </c>
      <c r="V217" s="61">
        <f>T217*係数!$C$30*0.0000258</f>
        <v>0</v>
      </c>
      <c r="W217" s="8">
        <f t="shared" si="25"/>
        <v>0</v>
      </c>
      <c r="X217" s="272">
        <f t="shared" si="26"/>
        <v>0</v>
      </c>
      <c r="Y217" s="489">
        <f t="shared" si="27"/>
        <v>0</v>
      </c>
    </row>
    <row r="218" spans="2:25">
      <c r="B218" s="100" t="s">
        <v>544</v>
      </c>
      <c r="C218" s="12"/>
      <c r="D218" s="3"/>
      <c r="E218" s="77"/>
      <c r="F218" s="62"/>
      <c r="G218" s="62"/>
      <c r="H218" s="84" t="s">
        <v>382</v>
      </c>
      <c r="I218" s="3"/>
      <c r="J218" s="60">
        <f t="shared" si="28"/>
        <v>0</v>
      </c>
      <c r="K218" s="60">
        <f t="shared" si="22"/>
        <v>0</v>
      </c>
      <c r="L218" s="61">
        <f>K218*係数!$H$30</f>
        <v>0</v>
      </c>
      <c r="M218" s="61">
        <f>K218*係数!$C$30*0.0000258</f>
        <v>0</v>
      </c>
      <c r="N218" s="12"/>
      <c r="O218" s="3"/>
      <c r="P218" s="3"/>
      <c r="Q218" s="84" t="s">
        <v>382</v>
      </c>
      <c r="R218" s="3"/>
      <c r="S218" s="488">
        <f t="shared" si="23"/>
        <v>0</v>
      </c>
      <c r="T218" s="8">
        <f t="shared" si="24"/>
        <v>0</v>
      </c>
      <c r="U218" s="61">
        <f>T218*係数!$H$30</f>
        <v>0</v>
      </c>
      <c r="V218" s="61">
        <f>T218*係数!$C$30*0.0000258</f>
        <v>0</v>
      </c>
      <c r="W218" s="8">
        <f t="shared" si="25"/>
        <v>0</v>
      </c>
      <c r="X218" s="272">
        <f t="shared" si="26"/>
        <v>0</v>
      </c>
      <c r="Y218" s="489">
        <f t="shared" si="27"/>
        <v>0</v>
      </c>
    </row>
    <row r="219" spans="2:25">
      <c r="B219" s="100" t="s">
        <v>545</v>
      </c>
      <c r="C219" s="12"/>
      <c r="D219" s="3"/>
      <c r="E219" s="77"/>
      <c r="F219" s="62"/>
      <c r="G219" s="62"/>
      <c r="H219" s="84" t="s">
        <v>382</v>
      </c>
      <c r="I219" s="3"/>
      <c r="J219" s="60">
        <f t="shared" si="28"/>
        <v>0</v>
      </c>
      <c r="K219" s="60">
        <f t="shared" si="22"/>
        <v>0</v>
      </c>
      <c r="L219" s="61">
        <f>K219*係数!$H$30</f>
        <v>0</v>
      </c>
      <c r="M219" s="61">
        <f>K219*係数!$C$30*0.0000258</f>
        <v>0</v>
      </c>
      <c r="N219" s="12"/>
      <c r="O219" s="3"/>
      <c r="P219" s="3"/>
      <c r="Q219" s="84" t="s">
        <v>382</v>
      </c>
      <c r="R219" s="3"/>
      <c r="S219" s="488">
        <f t="shared" si="23"/>
        <v>0</v>
      </c>
      <c r="T219" s="8">
        <f t="shared" si="24"/>
        <v>0</v>
      </c>
      <c r="U219" s="61">
        <f>T219*係数!$H$30</f>
        <v>0</v>
      </c>
      <c r="V219" s="61">
        <f>T219*係数!$C$30*0.0000258</f>
        <v>0</v>
      </c>
      <c r="W219" s="8">
        <f t="shared" si="25"/>
        <v>0</v>
      </c>
      <c r="X219" s="272">
        <f t="shared" si="26"/>
        <v>0</v>
      </c>
      <c r="Y219" s="489">
        <f t="shared" si="27"/>
        <v>0</v>
      </c>
    </row>
    <row r="220" spans="2:25">
      <c r="B220" s="100" t="s">
        <v>546</v>
      </c>
      <c r="C220" s="12"/>
      <c r="D220" s="3"/>
      <c r="E220" s="77"/>
      <c r="F220" s="62"/>
      <c r="G220" s="62"/>
      <c r="H220" s="84" t="s">
        <v>382</v>
      </c>
      <c r="I220" s="3"/>
      <c r="J220" s="60">
        <f t="shared" si="28"/>
        <v>0</v>
      </c>
      <c r="K220" s="60">
        <f t="shared" si="22"/>
        <v>0</v>
      </c>
      <c r="L220" s="61">
        <f>K220*係数!$H$30</f>
        <v>0</v>
      </c>
      <c r="M220" s="61">
        <f>K220*係数!$C$30*0.0000258</f>
        <v>0</v>
      </c>
      <c r="N220" s="12"/>
      <c r="O220" s="3"/>
      <c r="P220" s="3"/>
      <c r="Q220" s="84" t="s">
        <v>382</v>
      </c>
      <c r="R220" s="3"/>
      <c r="S220" s="488">
        <f t="shared" si="23"/>
        <v>0</v>
      </c>
      <c r="T220" s="8">
        <f t="shared" si="24"/>
        <v>0</v>
      </c>
      <c r="U220" s="61">
        <f>T220*係数!$H$30</f>
        <v>0</v>
      </c>
      <c r="V220" s="61">
        <f>T220*係数!$C$30*0.0000258</f>
        <v>0</v>
      </c>
      <c r="W220" s="8">
        <f t="shared" si="25"/>
        <v>0</v>
      </c>
      <c r="X220" s="272">
        <f t="shared" si="26"/>
        <v>0</v>
      </c>
      <c r="Y220" s="489">
        <f t="shared" si="27"/>
        <v>0</v>
      </c>
    </row>
    <row r="221" spans="2:25">
      <c r="B221" s="100" t="s">
        <v>547</v>
      </c>
      <c r="C221" s="12"/>
      <c r="D221" s="3"/>
      <c r="E221" s="77"/>
      <c r="F221" s="62"/>
      <c r="G221" s="62"/>
      <c r="H221" s="84" t="s">
        <v>382</v>
      </c>
      <c r="I221" s="3"/>
      <c r="J221" s="60">
        <f t="shared" si="28"/>
        <v>0</v>
      </c>
      <c r="K221" s="60">
        <f t="shared" si="22"/>
        <v>0</v>
      </c>
      <c r="L221" s="61">
        <f>K221*係数!$H$30</f>
        <v>0</v>
      </c>
      <c r="M221" s="61">
        <f>K221*係数!$C$30*0.0000258</f>
        <v>0</v>
      </c>
      <c r="N221" s="12"/>
      <c r="O221" s="3"/>
      <c r="P221" s="3"/>
      <c r="Q221" s="84" t="s">
        <v>382</v>
      </c>
      <c r="R221" s="3"/>
      <c r="S221" s="488">
        <f t="shared" si="23"/>
        <v>0</v>
      </c>
      <c r="T221" s="8">
        <f t="shared" si="24"/>
        <v>0</v>
      </c>
      <c r="U221" s="61">
        <f>T221*係数!$H$30</f>
        <v>0</v>
      </c>
      <c r="V221" s="61">
        <f>T221*係数!$C$30*0.0000258</f>
        <v>0</v>
      </c>
      <c r="W221" s="8">
        <f t="shared" si="25"/>
        <v>0</v>
      </c>
      <c r="X221" s="272">
        <f t="shared" si="26"/>
        <v>0</v>
      </c>
      <c r="Y221" s="489">
        <f t="shared" si="27"/>
        <v>0</v>
      </c>
    </row>
    <row r="222" spans="2:25">
      <c r="B222" s="100" t="s">
        <v>548</v>
      </c>
      <c r="C222" s="12"/>
      <c r="D222" s="3"/>
      <c r="E222" s="77"/>
      <c r="F222" s="62"/>
      <c r="G222" s="62"/>
      <c r="H222" s="84" t="s">
        <v>382</v>
      </c>
      <c r="I222" s="3"/>
      <c r="J222" s="60">
        <f t="shared" si="28"/>
        <v>0</v>
      </c>
      <c r="K222" s="60">
        <f t="shared" si="22"/>
        <v>0</v>
      </c>
      <c r="L222" s="61">
        <f>K222*係数!$H$30</f>
        <v>0</v>
      </c>
      <c r="M222" s="61">
        <f>K222*係数!$C$30*0.0000258</f>
        <v>0</v>
      </c>
      <c r="N222" s="12"/>
      <c r="O222" s="3"/>
      <c r="P222" s="3"/>
      <c r="Q222" s="84" t="s">
        <v>382</v>
      </c>
      <c r="R222" s="3"/>
      <c r="S222" s="488">
        <f t="shared" si="23"/>
        <v>0</v>
      </c>
      <c r="T222" s="8">
        <f t="shared" si="24"/>
        <v>0</v>
      </c>
      <c r="U222" s="61">
        <f>T222*係数!$H$30</f>
        <v>0</v>
      </c>
      <c r="V222" s="61">
        <f>T222*係数!$C$30*0.0000258</f>
        <v>0</v>
      </c>
      <c r="W222" s="8">
        <f t="shared" si="25"/>
        <v>0</v>
      </c>
      <c r="X222" s="272">
        <f t="shared" si="26"/>
        <v>0</v>
      </c>
      <c r="Y222" s="489">
        <f t="shared" si="27"/>
        <v>0</v>
      </c>
    </row>
    <row r="223" spans="2:25">
      <c r="B223" s="100" t="s">
        <v>549</v>
      </c>
      <c r="C223" s="12"/>
      <c r="D223" s="3"/>
      <c r="E223" s="77"/>
      <c r="F223" s="62"/>
      <c r="G223" s="62"/>
      <c r="H223" s="84" t="s">
        <v>382</v>
      </c>
      <c r="I223" s="3"/>
      <c r="J223" s="60">
        <f t="shared" si="28"/>
        <v>0</v>
      </c>
      <c r="K223" s="60">
        <f t="shared" si="22"/>
        <v>0</v>
      </c>
      <c r="L223" s="61">
        <f>K223*係数!$H$30</f>
        <v>0</v>
      </c>
      <c r="M223" s="61">
        <f>K223*係数!$C$30*0.0000258</f>
        <v>0</v>
      </c>
      <c r="N223" s="12"/>
      <c r="O223" s="3"/>
      <c r="P223" s="3"/>
      <c r="Q223" s="84" t="s">
        <v>382</v>
      </c>
      <c r="R223" s="3"/>
      <c r="S223" s="488">
        <f t="shared" si="23"/>
        <v>0</v>
      </c>
      <c r="T223" s="8">
        <f t="shared" si="24"/>
        <v>0</v>
      </c>
      <c r="U223" s="61">
        <f>T223*係数!$H$30</f>
        <v>0</v>
      </c>
      <c r="V223" s="61">
        <f>T223*係数!$C$30*0.0000258</f>
        <v>0</v>
      </c>
      <c r="W223" s="8">
        <f t="shared" si="25"/>
        <v>0</v>
      </c>
      <c r="X223" s="272">
        <f t="shared" si="26"/>
        <v>0</v>
      </c>
      <c r="Y223" s="489">
        <f t="shared" si="27"/>
        <v>0</v>
      </c>
    </row>
    <row r="224" spans="2:25">
      <c r="B224" s="100" t="s">
        <v>550</v>
      </c>
      <c r="C224" s="12"/>
      <c r="D224" s="3"/>
      <c r="E224" s="77"/>
      <c r="F224" s="62"/>
      <c r="G224" s="62"/>
      <c r="H224" s="84" t="s">
        <v>382</v>
      </c>
      <c r="I224" s="3"/>
      <c r="J224" s="60">
        <f t="shared" si="28"/>
        <v>0</v>
      </c>
      <c r="K224" s="60">
        <f t="shared" si="22"/>
        <v>0</v>
      </c>
      <c r="L224" s="61">
        <f>K224*係数!$H$30</f>
        <v>0</v>
      </c>
      <c r="M224" s="61">
        <f>K224*係数!$C$30*0.0000258</f>
        <v>0</v>
      </c>
      <c r="N224" s="12"/>
      <c r="O224" s="3"/>
      <c r="P224" s="3"/>
      <c r="Q224" s="84" t="s">
        <v>382</v>
      </c>
      <c r="R224" s="3"/>
      <c r="S224" s="488">
        <f t="shared" si="23"/>
        <v>0</v>
      </c>
      <c r="T224" s="8">
        <f t="shared" si="24"/>
        <v>0</v>
      </c>
      <c r="U224" s="61">
        <f>T224*係数!$H$30</f>
        <v>0</v>
      </c>
      <c r="V224" s="61">
        <f>T224*係数!$C$30*0.0000258</f>
        <v>0</v>
      </c>
      <c r="W224" s="8">
        <f t="shared" si="25"/>
        <v>0</v>
      </c>
      <c r="X224" s="272">
        <f t="shared" si="26"/>
        <v>0</v>
      </c>
      <c r="Y224" s="489">
        <f t="shared" si="27"/>
        <v>0</v>
      </c>
    </row>
    <row r="225" spans="2:25">
      <c r="B225" s="100" t="s">
        <v>551</v>
      </c>
      <c r="C225" s="12"/>
      <c r="D225" s="3"/>
      <c r="E225" s="77"/>
      <c r="F225" s="62"/>
      <c r="G225" s="62"/>
      <c r="H225" s="84" t="s">
        <v>382</v>
      </c>
      <c r="I225" s="3"/>
      <c r="J225" s="60">
        <f t="shared" si="28"/>
        <v>0</v>
      </c>
      <c r="K225" s="60">
        <f t="shared" si="22"/>
        <v>0</v>
      </c>
      <c r="L225" s="61">
        <f>K225*係数!$H$30</f>
        <v>0</v>
      </c>
      <c r="M225" s="61">
        <f>K225*係数!$C$30*0.0000258</f>
        <v>0</v>
      </c>
      <c r="N225" s="12"/>
      <c r="O225" s="3"/>
      <c r="P225" s="3"/>
      <c r="Q225" s="84" t="s">
        <v>382</v>
      </c>
      <c r="R225" s="3"/>
      <c r="S225" s="488">
        <f t="shared" si="23"/>
        <v>0</v>
      </c>
      <c r="T225" s="8">
        <f t="shared" si="24"/>
        <v>0</v>
      </c>
      <c r="U225" s="61">
        <f>T225*係数!$H$30</f>
        <v>0</v>
      </c>
      <c r="V225" s="61">
        <f>T225*係数!$C$30*0.0000258</f>
        <v>0</v>
      </c>
      <c r="W225" s="8">
        <f t="shared" si="25"/>
        <v>0</v>
      </c>
      <c r="X225" s="272">
        <f t="shared" si="26"/>
        <v>0</v>
      </c>
      <c r="Y225" s="489">
        <f t="shared" si="27"/>
        <v>0</v>
      </c>
    </row>
    <row r="226" spans="2:25">
      <c r="B226" s="100" t="s">
        <v>552</v>
      </c>
      <c r="C226" s="12"/>
      <c r="D226" s="3"/>
      <c r="E226" s="77"/>
      <c r="F226" s="62"/>
      <c r="G226" s="62"/>
      <c r="H226" s="84" t="s">
        <v>382</v>
      </c>
      <c r="I226" s="3"/>
      <c r="J226" s="60">
        <f t="shared" si="28"/>
        <v>0</v>
      </c>
      <c r="K226" s="60">
        <f t="shared" si="22"/>
        <v>0</v>
      </c>
      <c r="L226" s="61">
        <f>K226*係数!$H$30</f>
        <v>0</v>
      </c>
      <c r="M226" s="61">
        <f>K226*係数!$C$30*0.0000258</f>
        <v>0</v>
      </c>
      <c r="N226" s="12"/>
      <c r="O226" s="3"/>
      <c r="P226" s="3"/>
      <c r="Q226" s="84" t="s">
        <v>382</v>
      </c>
      <c r="R226" s="3"/>
      <c r="S226" s="488">
        <f t="shared" si="23"/>
        <v>0</v>
      </c>
      <c r="T226" s="8">
        <f t="shared" si="24"/>
        <v>0</v>
      </c>
      <c r="U226" s="61">
        <f>T226*係数!$H$30</f>
        <v>0</v>
      </c>
      <c r="V226" s="61">
        <f>T226*係数!$C$30*0.0000258</f>
        <v>0</v>
      </c>
      <c r="W226" s="8">
        <f t="shared" si="25"/>
        <v>0</v>
      </c>
      <c r="X226" s="272">
        <f t="shared" si="26"/>
        <v>0</v>
      </c>
      <c r="Y226" s="489">
        <f t="shared" si="27"/>
        <v>0</v>
      </c>
    </row>
    <row r="227" spans="2:25">
      <c r="B227" s="100" t="s">
        <v>553</v>
      </c>
      <c r="C227" s="12"/>
      <c r="D227" s="3"/>
      <c r="E227" s="77"/>
      <c r="F227" s="62"/>
      <c r="G227" s="62"/>
      <c r="H227" s="84" t="s">
        <v>382</v>
      </c>
      <c r="I227" s="3"/>
      <c r="J227" s="60">
        <f t="shared" si="28"/>
        <v>0</v>
      </c>
      <c r="K227" s="60">
        <f t="shared" si="22"/>
        <v>0</v>
      </c>
      <c r="L227" s="61">
        <f>K227*係数!$H$30</f>
        <v>0</v>
      </c>
      <c r="M227" s="61">
        <f>K227*係数!$C$30*0.0000258</f>
        <v>0</v>
      </c>
      <c r="N227" s="12"/>
      <c r="O227" s="3"/>
      <c r="P227" s="3"/>
      <c r="Q227" s="84" t="s">
        <v>382</v>
      </c>
      <c r="R227" s="3"/>
      <c r="S227" s="488">
        <f t="shared" si="23"/>
        <v>0</v>
      </c>
      <c r="T227" s="8">
        <f t="shared" si="24"/>
        <v>0</v>
      </c>
      <c r="U227" s="61">
        <f>T227*係数!$H$30</f>
        <v>0</v>
      </c>
      <c r="V227" s="61">
        <f>T227*係数!$C$30*0.0000258</f>
        <v>0</v>
      </c>
      <c r="W227" s="8">
        <f t="shared" si="25"/>
        <v>0</v>
      </c>
      <c r="X227" s="272">
        <f t="shared" si="26"/>
        <v>0</v>
      </c>
      <c r="Y227" s="489">
        <f t="shared" si="27"/>
        <v>0</v>
      </c>
    </row>
    <row r="228" spans="2:25">
      <c r="B228" s="100" t="s">
        <v>554</v>
      </c>
      <c r="C228" s="12"/>
      <c r="D228" s="3"/>
      <c r="E228" s="77"/>
      <c r="F228" s="62"/>
      <c r="G228" s="62"/>
      <c r="H228" s="84" t="s">
        <v>382</v>
      </c>
      <c r="I228" s="3"/>
      <c r="J228" s="60">
        <f t="shared" si="28"/>
        <v>0</v>
      </c>
      <c r="K228" s="60">
        <f t="shared" si="22"/>
        <v>0</v>
      </c>
      <c r="L228" s="61">
        <f>K228*係数!$H$30</f>
        <v>0</v>
      </c>
      <c r="M228" s="61">
        <f>K228*係数!$C$30*0.0000258</f>
        <v>0</v>
      </c>
      <c r="N228" s="12"/>
      <c r="O228" s="3"/>
      <c r="P228" s="3"/>
      <c r="Q228" s="84" t="s">
        <v>382</v>
      </c>
      <c r="R228" s="3"/>
      <c r="S228" s="488">
        <f t="shared" si="23"/>
        <v>0</v>
      </c>
      <c r="T228" s="8">
        <f t="shared" si="24"/>
        <v>0</v>
      </c>
      <c r="U228" s="61">
        <f>T228*係数!$H$30</f>
        <v>0</v>
      </c>
      <c r="V228" s="61">
        <f>T228*係数!$C$30*0.0000258</f>
        <v>0</v>
      </c>
      <c r="W228" s="8">
        <f t="shared" si="25"/>
        <v>0</v>
      </c>
      <c r="X228" s="272">
        <f t="shared" si="26"/>
        <v>0</v>
      </c>
      <c r="Y228" s="489">
        <f t="shared" si="27"/>
        <v>0</v>
      </c>
    </row>
    <row r="229" spans="2:25">
      <c r="B229" s="100" t="s">
        <v>555</v>
      </c>
      <c r="C229" s="12"/>
      <c r="D229" s="3"/>
      <c r="E229" s="77"/>
      <c r="F229" s="62"/>
      <c r="G229" s="62"/>
      <c r="H229" s="84" t="s">
        <v>382</v>
      </c>
      <c r="I229" s="3"/>
      <c r="J229" s="60">
        <f t="shared" si="28"/>
        <v>0</v>
      </c>
      <c r="K229" s="60">
        <f t="shared" si="22"/>
        <v>0</v>
      </c>
      <c r="L229" s="61">
        <f>K229*係数!$H$30</f>
        <v>0</v>
      </c>
      <c r="M229" s="61">
        <f>K229*係数!$C$30*0.0000258</f>
        <v>0</v>
      </c>
      <c r="N229" s="12"/>
      <c r="O229" s="3"/>
      <c r="P229" s="3"/>
      <c r="Q229" s="84" t="s">
        <v>382</v>
      </c>
      <c r="R229" s="3"/>
      <c r="S229" s="488">
        <f t="shared" si="23"/>
        <v>0</v>
      </c>
      <c r="T229" s="8">
        <f t="shared" si="24"/>
        <v>0</v>
      </c>
      <c r="U229" s="61">
        <f>T229*係数!$H$30</f>
        <v>0</v>
      </c>
      <c r="V229" s="61">
        <f>T229*係数!$C$30*0.0000258</f>
        <v>0</v>
      </c>
      <c r="W229" s="8">
        <f t="shared" si="25"/>
        <v>0</v>
      </c>
      <c r="X229" s="272">
        <f t="shared" si="26"/>
        <v>0</v>
      </c>
      <c r="Y229" s="489">
        <f t="shared" si="27"/>
        <v>0</v>
      </c>
    </row>
    <row r="230" spans="2:25">
      <c r="B230" s="100" t="s">
        <v>556</v>
      </c>
      <c r="C230" s="12"/>
      <c r="D230" s="3"/>
      <c r="E230" s="77"/>
      <c r="F230" s="62"/>
      <c r="G230" s="62"/>
      <c r="H230" s="84" t="s">
        <v>382</v>
      </c>
      <c r="I230" s="3"/>
      <c r="J230" s="60">
        <f t="shared" si="28"/>
        <v>0</v>
      </c>
      <c r="K230" s="60">
        <f t="shared" si="22"/>
        <v>0</v>
      </c>
      <c r="L230" s="61">
        <f>K230*係数!$H$30</f>
        <v>0</v>
      </c>
      <c r="M230" s="61">
        <f>K230*係数!$C$30*0.0000258</f>
        <v>0</v>
      </c>
      <c r="N230" s="12"/>
      <c r="O230" s="3"/>
      <c r="P230" s="3"/>
      <c r="Q230" s="84" t="s">
        <v>382</v>
      </c>
      <c r="R230" s="3"/>
      <c r="S230" s="488">
        <f t="shared" si="23"/>
        <v>0</v>
      </c>
      <c r="T230" s="8">
        <f t="shared" si="24"/>
        <v>0</v>
      </c>
      <c r="U230" s="61">
        <f>T230*係数!$H$30</f>
        <v>0</v>
      </c>
      <c r="V230" s="61">
        <f>T230*係数!$C$30*0.0000258</f>
        <v>0</v>
      </c>
      <c r="W230" s="8">
        <f t="shared" si="25"/>
        <v>0</v>
      </c>
      <c r="X230" s="272">
        <f t="shared" si="26"/>
        <v>0</v>
      </c>
      <c r="Y230" s="489">
        <f t="shared" si="27"/>
        <v>0</v>
      </c>
    </row>
    <row r="231" spans="2:25">
      <c r="B231" s="100" t="s">
        <v>557</v>
      </c>
      <c r="C231" s="12"/>
      <c r="D231" s="3"/>
      <c r="E231" s="77"/>
      <c r="F231" s="62"/>
      <c r="G231" s="62"/>
      <c r="H231" s="84" t="s">
        <v>382</v>
      </c>
      <c r="I231" s="3"/>
      <c r="J231" s="60">
        <f t="shared" si="28"/>
        <v>0</v>
      </c>
      <c r="K231" s="60">
        <f t="shared" si="22"/>
        <v>0</v>
      </c>
      <c r="L231" s="61">
        <f>K231*係数!$H$30</f>
        <v>0</v>
      </c>
      <c r="M231" s="61">
        <f>K231*係数!$C$30*0.0000258</f>
        <v>0</v>
      </c>
      <c r="N231" s="12"/>
      <c r="O231" s="3"/>
      <c r="P231" s="3"/>
      <c r="Q231" s="84" t="s">
        <v>382</v>
      </c>
      <c r="R231" s="3"/>
      <c r="S231" s="488">
        <f t="shared" si="23"/>
        <v>0</v>
      </c>
      <c r="T231" s="8">
        <f t="shared" si="24"/>
        <v>0</v>
      </c>
      <c r="U231" s="61">
        <f>T231*係数!$H$30</f>
        <v>0</v>
      </c>
      <c r="V231" s="61">
        <f>T231*係数!$C$30*0.0000258</f>
        <v>0</v>
      </c>
      <c r="W231" s="8">
        <f t="shared" si="25"/>
        <v>0</v>
      </c>
      <c r="X231" s="272">
        <f t="shared" si="26"/>
        <v>0</v>
      </c>
      <c r="Y231" s="489">
        <f t="shared" si="27"/>
        <v>0</v>
      </c>
    </row>
    <row r="232" spans="2:25">
      <c r="B232" s="100" t="s">
        <v>558</v>
      </c>
      <c r="C232" s="12"/>
      <c r="D232" s="3"/>
      <c r="E232" s="77"/>
      <c r="F232" s="62"/>
      <c r="G232" s="62"/>
      <c r="H232" s="84" t="s">
        <v>382</v>
      </c>
      <c r="I232" s="3"/>
      <c r="J232" s="60">
        <f t="shared" si="28"/>
        <v>0</v>
      </c>
      <c r="K232" s="60">
        <f t="shared" si="22"/>
        <v>0</v>
      </c>
      <c r="L232" s="61">
        <f>K232*係数!$H$30</f>
        <v>0</v>
      </c>
      <c r="M232" s="61">
        <f>K232*係数!$C$30*0.0000258</f>
        <v>0</v>
      </c>
      <c r="N232" s="12"/>
      <c r="O232" s="3"/>
      <c r="P232" s="3"/>
      <c r="Q232" s="84" t="s">
        <v>382</v>
      </c>
      <c r="R232" s="3"/>
      <c r="S232" s="488">
        <f t="shared" si="23"/>
        <v>0</v>
      </c>
      <c r="T232" s="8">
        <f t="shared" si="24"/>
        <v>0</v>
      </c>
      <c r="U232" s="61">
        <f>T232*係数!$H$30</f>
        <v>0</v>
      </c>
      <c r="V232" s="61">
        <f>T232*係数!$C$30*0.0000258</f>
        <v>0</v>
      </c>
      <c r="W232" s="8">
        <f t="shared" si="25"/>
        <v>0</v>
      </c>
      <c r="X232" s="272">
        <f t="shared" si="26"/>
        <v>0</v>
      </c>
      <c r="Y232" s="489">
        <f t="shared" si="27"/>
        <v>0</v>
      </c>
    </row>
    <row r="233" spans="2:25">
      <c r="B233" s="100" t="s">
        <v>559</v>
      </c>
      <c r="C233" s="12"/>
      <c r="D233" s="3"/>
      <c r="E233" s="77"/>
      <c r="F233" s="62"/>
      <c r="G233" s="62"/>
      <c r="H233" s="84" t="s">
        <v>382</v>
      </c>
      <c r="I233" s="3"/>
      <c r="J233" s="60">
        <f t="shared" si="28"/>
        <v>0</v>
      </c>
      <c r="K233" s="60">
        <f t="shared" si="22"/>
        <v>0</v>
      </c>
      <c r="L233" s="61">
        <f>K233*係数!$H$30</f>
        <v>0</v>
      </c>
      <c r="M233" s="61">
        <f>K233*係数!$C$30*0.0000258</f>
        <v>0</v>
      </c>
      <c r="N233" s="12"/>
      <c r="O233" s="3"/>
      <c r="P233" s="3"/>
      <c r="Q233" s="84" t="s">
        <v>382</v>
      </c>
      <c r="R233" s="3"/>
      <c r="S233" s="488">
        <f t="shared" si="23"/>
        <v>0</v>
      </c>
      <c r="T233" s="8">
        <f t="shared" si="24"/>
        <v>0</v>
      </c>
      <c r="U233" s="61">
        <f>T233*係数!$H$30</f>
        <v>0</v>
      </c>
      <c r="V233" s="61">
        <f>T233*係数!$C$30*0.0000258</f>
        <v>0</v>
      </c>
      <c r="W233" s="8">
        <f t="shared" si="25"/>
        <v>0</v>
      </c>
      <c r="X233" s="272">
        <f t="shared" si="26"/>
        <v>0</v>
      </c>
      <c r="Y233" s="489">
        <f t="shared" si="27"/>
        <v>0</v>
      </c>
    </row>
    <row r="234" spans="2:25">
      <c r="B234" s="100" t="s">
        <v>560</v>
      </c>
      <c r="C234" s="12"/>
      <c r="D234" s="3"/>
      <c r="E234" s="77"/>
      <c r="F234" s="62"/>
      <c r="G234" s="62"/>
      <c r="H234" s="84" t="s">
        <v>382</v>
      </c>
      <c r="I234" s="3"/>
      <c r="J234" s="60">
        <f t="shared" si="28"/>
        <v>0</v>
      </c>
      <c r="K234" s="60">
        <f t="shared" si="22"/>
        <v>0</v>
      </c>
      <c r="L234" s="61">
        <f>K234*係数!$H$30</f>
        <v>0</v>
      </c>
      <c r="M234" s="61">
        <f>K234*係数!$C$30*0.0000258</f>
        <v>0</v>
      </c>
      <c r="N234" s="12"/>
      <c r="O234" s="3"/>
      <c r="P234" s="3"/>
      <c r="Q234" s="84" t="s">
        <v>382</v>
      </c>
      <c r="R234" s="3"/>
      <c r="S234" s="488">
        <f t="shared" si="23"/>
        <v>0</v>
      </c>
      <c r="T234" s="8">
        <f t="shared" si="24"/>
        <v>0</v>
      </c>
      <c r="U234" s="61">
        <f>T234*係数!$H$30</f>
        <v>0</v>
      </c>
      <c r="V234" s="61">
        <f>T234*係数!$C$30*0.0000258</f>
        <v>0</v>
      </c>
      <c r="W234" s="8">
        <f t="shared" si="25"/>
        <v>0</v>
      </c>
      <c r="X234" s="272">
        <f t="shared" si="26"/>
        <v>0</v>
      </c>
      <c r="Y234" s="489">
        <f t="shared" si="27"/>
        <v>0</v>
      </c>
    </row>
    <row r="235" spans="2:25">
      <c r="B235" s="100" t="s">
        <v>561</v>
      </c>
      <c r="C235" s="12"/>
      <c r="D235" s="3"/>
      <c r="E235" s="77"/>
      <c r="F235" s="62"/>
      <c r="G235" s="62"/>
      <c r="H235" s="84" t="s">
        <v>382</v>
      </c>
      <c r="I235" s="3"/>
      <c r="J235" s="60">
        <f t="shared" si="28"/>
        <v>0</v>
      </c>
      <c r="K235" s="60">
        <f t="shared" si="22"/>
        <v>0</v>
      </c>
      <c r="L235" s="61">
        <f>K235*係数!$H$30</f>
        <v>0</v>
      </c>
      <c r="M235" s="61">
        <f>K235*係数!$C$30*0.0000258</f>
        <v>0</v>
      </c>
      <c r="N235" s="12"/>
      <c r="O235" s="3"/>
      <c r="P235" s="3"/>
      <c r="Q235" s="84" t="s">
        <v>382</v>
      </c>
      <c r="R235" s="3"/>
      <c r="S235" s="488">
        <f t="shared" si="23"/>
        <v>0</v>
      </c>
      <c r="T235" s="8">
        <f t="shared" si="24"/>
        <v>0</v>
      </c>
      <c r="U235" s="61">
        <f>T235*係数!$H$30</f>
        <v>0</v>
      </c>
      <c r="V235" s="61">
        <f>T235*係数!$C$30*0.0000258</f>
        <v>0</v>
      </c>
      <c r="W235" s="8">
        <f t="shared" si="25"/>
        <v>0</v>
      </c>
      <c r="X235" s="272">
        <f t="shared" si="26"/>
        <v>0</v>
      </c>
      <c r="Y235" s="489">
        <f t="shared" si="27"/>
        <v>0</v>
      </c>
    </row>
    <row r="236" spans="2:25">
      <c r="B236" s="100" t="s">
        <v>562</v>
      </c>
      <c r="C236" s="12"/>
      <c r="D236" s="3"/>
      <c r="E236" s="77"/>
      <c r="F236" s="62"/>
      <c r="G236" s="62"/>
      <c r="H236" s="84" t="s">
        <v>382</v>
      </c>
      <c r="I236" s="3"/>
      <c r="J236" s="60">
        <f t="shared" si="28"/>
        <v>0</v>
      </c>
      <c r="K236" s="60">
        <f t="shared" si="22"/>
        <v>0</v>
      </c>
      <c r="L236" s="61">
        <f>K236*係数!$H$30</f>
        <v>0</v>
      </c>
      <c r="M236" s="61">
        <f>K236*係数!$C$30*0.0000258</f>
        <v>0</v>
      </c>
      <c r="N236" s="12"/>
      <c r="O236" s="3"/>
      <c r="P236" s="3"/>
      <c r="Q236" s="84" t="s">
        <v>382</v>
      </c>
      <c r="R236" s="3"/>
      <c r="S236" s="488">
        <f t="shared" si="23"/>
        <v>0</v>
      </c>
      <c r="T236" s="8">
        <f t="shared" si="24"/>
        <v>0</v>
      </c>
      <c r="U236" s="61">
        <f>T236*係数!$H$30</f>
        <v>0</v>
      </c>
      <c r="V236" s="61">
        <f>T236*係数!$C$30*0.0000258</f>
        <v>0</v>
      </c>
      <c r="W236" s="8">
        <f t="shared" si="25"/>
        <v>0</v>
      </c>
      <c r="X236" s="272">
        <f t="shared" si="26"/>
        <v>0</v>
      </c>
      <c r="Y236" s="489">
        <f t="shared" si="27"/>
        <v>0</v>
      </c>
    </row>
    <row r="237" spans="2:25">
      <c r="B237" s="100" t="s">
        <v>563</v>
      </c>
      <c r="C237" s="12"/>
      <c r="D237" s="3"/>
      <c r="E237" s="77"/>
      <c r="F237" s="62"/>
      <c r="G237" s="62"/>
      <c r="H237" s="84" t="s">
        <v>382</v>
      </c>
      <c r="I237" s="3"/>
      <c r="J237" s="60">
        <f t="shared" si="28"/>
        <v>0</v>
      </c>
      <c r="K237" s="60">
        <f t="shared" si="22"/>
        <v>0</v>
      </c>
      <c r="L237" s="61">
        <f>K237*係数!$H$30</f>
        <v>0</v>
      </c>
      <c r="M237" s="61">
        <f>K237*係数!$C$30*0.0000258</f>
        <v>0</v>
      </c>
      <c r="N237" s="12"/>
      <c r="O237" s="3"/>
      <c r="P237" s="3"/>
      <c r="Q237" s="84" t="s">
        <v>382</v>
      </c>
      <c r="R237" s="3"/>
      <c r="S237" s="488">
        <f t="shared" si="23"/>
        <v>0</v>
      </c>
      <c r="T237" s="8">
        <f t="shared" si="24"/>
        <v>0</v>
      </c>
      <c r="U237" s="61">
        <f>T237*係数!$H$30</f>
        <v>0</v>
      </c>
      <c r="V237" s="61">
        <f>T237*係数!$C$30*0.0000258</f>
        <v>0</v>
      </c>
      <c r="W237" s="8">
        <f t="shared" si="25"/>
        <v>0</v>
      </c>
      <c r="X237" s="272">
        <f t="shared" si="26"/>
        <v>0</v>
      </c>
      <c r="Y237" s="489">
        <f t="shared" si="27"/>
        <v>0</v>
      </c>
    </row>
    <row r="238" spans="2:25">
      <c r="B238" s="100" t="s">
        <v>564</v>
      </c>
      <c r="C238" s="12"/>
      <c r="D238" s="3"/>
      <c r="E238" s="77"/>
      <c r="F238" s="62"/>
      <c r="G238" s="62"/>
      <c r="H238" s="84" t="s">
        <v>382</v>
      </c>
      <c r="I238" s="3"/>
      <c r="J238" s="60">
        <f t="shared" si="28"/>
        <v>0</v>
      </c>
      <c r="K238" s="60">
        <f t="shared" si="22"/>
        <v>0</v>
      </c>
      <c r="L238" s="61">
        <f>K238*係数!$H$30</f>
        <v>0</v>
      </c>
      <c r="M238" s="61">
        <f>K238*係数!$C$30*0.0000258</f>
        <v>0</v>
      </c>
      <c r="N238" s="12"/>
      <c r="O238" s="3"/>
      <c r="P238" s="3"/>
      <c r="Q238" s="84" t="s">
        <v>382</v>
      </c>
      <c r="R238" s="3"/>
      <c r="S238" s="488">
        <f t="shared" si="23"/>
        <v>0</v>
      </c>
      <c r="T238" s="8">
        <f t="shared" si="24"/>
        <v>0</v>
      </c>
      <c r="U238" s="61">
        <f>T238*係数!$H$30</f>
        <v>0</v>
      </c>
      <c r="V238" s="61">
        <f>T238*係数!$C$30*0.0000258</f>
        <v>0</v>
      </c>
      <c r="W238" s="8">
        <f t="shared" si="25"/>
        <v>0</v>
      </c>
      <c r="X238" s="272">
        <f t="shared" si="26"/>
        <v>0</v>
      </c>
      <c r="Y238" s="489">
        <f t="shared" si="27"/>
        <v>0</v>
      </c>
    </row>
    <row r="239" spans="2:25">
      <c r="B239" s="100" t="s">
        <v>565</v>
      </c>
      <c r="C239" s="12"/>
      <c r="D239" s="3"/>
      <c r="E239" s="77"/>
      <c r="F239" s="62"/>
      <c r="G239" s="62"/>
      <c r="H239" s="84" t="s">
        <v>382</v>
      </c>
      <c r="I239" s="3"/>
      <c r="J239" s="60">
        <f t="shared" si="28"/>
        <v>0</v>
      </c>
      <c r="K239" s="60">
        <f t="shared" si="22"/>
        <v>0</v>
      </c>
      <c r="L239" s="61">
        <f>K239*係数!$H$30</f>
        <v>0</v>
      </c>
      <c r="M239" s="61">
        <f>K239*係数!$C$30*0.0000258</f>
        <v>0</v>
      </c>
      <c r="N239" s="12"/>
      <c r="O239" s="3"/>
      <c r="P239" s="3"/>
      <c r="Q239" s="84" t="s">
        <v>382</v>
      </c>
      <c r="R239" s="3"/>
      <c r="S239" s="488">
        <f t="shared" si="23"/>
        <v>0</v>
      </c>
      <c r="T239" s="8">
        <f t="shared" si="24"/>
        <v>0</v>
      </c>
      <c r="U239" s="61">
        <f>T239*係数!$H$30</f>
        <v>0</v>
      </c>
      <c r="V239" s="61">
        <f>T239*係数!$C$30*0.0000258</f>
        <v>0</v>
      </c>
      <c r="W239" s="8">
        <f t="shared" si="25"/>
        <v>0</v>
      </c>
      <c r="X239" s="272">
        <f t="shared" si="26"/>
        <v>0</v>
      </c>
      <c r="Y239" s="489">
        <f t="shared" si="27"/>
        <v>0</v>
      </c>
    </row>
    <row r="240" spans="2:25">
      <c r="B240" s="100" t="s">
        <v>566</v>
      </c>
      <c r="C240" s="12"/>
      <c r="D240" s="3"/>
      <c r="E240" s="77"/>
      <c r="F240" s="62"/>
      <c r="G240" s="62"/>
      <c r="H240" s="84" t="s">
        <v>382</v>
      </c>
      <c r="I240" s="3"/>
      <c r="J240" s="60">
        <f t="shared" si="28"/>
        <v>0</v>
      </c>
      <c r="K240" s="60">
        <f t="shared" si="22"/>
        <v>0</v>
      </c>
      <c r="L240" s="61">
        <f>K240*係数!$H$30</f>
        <v>0</v>
      </c>
      <c r="M240" s="61">
        <f>K240*係数!$C$30*0.0000258</f>
        <v>0</v>
      </c>
      <c r="N240" s="12"/>
      <c r="O240" s="3"/>
      <c r="P240" s="3"/>
      <c r="Q240" s="84" t="s">
        <v>382</v>
      </c>
      <c r="R240" s="3"/>
      <c r="S240" s="488">
        <f t="shared" si="23"/>
        <v>0</v>
      </c>
      <c r="T240" s="8">
        <f t="shared" si="24"/>
        <v>0</v>
      </c>
      <c r="U240" s="61">
        <f>T240*係数!$H$30</f>
        <v>0</v>
      </c>
      <c r="V240" s="61">
        <f>T240*係数!$C$30*0.0000258</f>
        <v>0</v>
      </c>
      <c r="W240" s="8">
        <f t="shared" si="25"/>
        <v>0</v>
      </c>
      <c r="X240" s="272">
        <f t="shared" si="26"/>
        <v>0</v>
      </c>
      <c r="Y240" s="489">
        <f t="shared" si="27"/>
        <v>0</v>
      </c>
    </row>
    <row r="241" spans="2:25">
      <c r="B241" s="100" t="s">
        <v>567</v>
      </c>
      <c r="C241" s="12"/>
      <c r="D241" s="3"/>
      <c r="E241" s="77"/>
      <c r="F241" s="62"/>
      <c r="G241" s="62"/>
      <c r="H241" s="84" t="s">
        <v>382</v>
      </c>
      <c r="I241" s="3"/>
      <c r="J241" s="60">
        <f t="shared" si="28"/>
        <v>0</v>
      </c>
      <c r="K241" s="60">
        <f t="shared" si="22"/>
        <v>0</v>
      </c>
      <c r="L241" s="61">
        <f>K241*係数!$H$30</f>
        <v>0</v>
      </c>
      <c r="M241" s="61">
        <f>K241*係数!$C$30*0.0000258</f>
        <v>0</v>
      </c>
      <c r="N241" s="12"/>
      <c r="O241" s="3"/>
      <c r="P241" s="3"/>
      <c r="Q241" s="84" t="s">
        <v>382</v>
      </c>
      <c r="R241" s="3"/>
      <c r="S241" s="488">
        <f t="shared" si="23"/>
        <v>0</v>
      </c>
      <c r="T241" s="8">
        <f t="shared" si="24"/>
        <v>0</v>
      </c>
      <c r="U241" s="61">
        <f>T241*係数!$H$30</f>
        <v>0</v>
      </c>
      <c r="V241" s="61">
        <f>T241*係数!$C$30*0.0000258</f>
        <v>0</v>
      </c>
      <c r="W241" s="8">
        <f t="shared" si="25"/>
        <v>0</v>
      </c>
      <c r="X241" s="272">
        <f t="shared" si="26"/>
        <v>0</v>
      </c>
      <c r="Y241" s="489">
        <f t="shared" si="27"/>
        <v>0</v>
      </c>
    </row>
    <row r="242" spans="2:25">
      <c r="B242" s="100" t="s">
        <v>568</v>
      </c>
      <c r="C242" s="12"/>
      <c r="D242" s="3"/>
      <c r="E242" s="77"/>
      <c r="F242" s="62"/>
      <c r="G242" s="62"/>
      <c r="H242" s="84" t="s">
        <v>382</v>
      </c>
      <c r="I242" s="3"/>
      <c r="J242" s="60">
        <f t="shared" si="28"/>
        <v>0</v>
      </c>
      <c r="K242" s="60">
        <f t="shared" si="22"/>
        <v>0</v>
      </c>
      <c r="L242" s="61">
        <f>K242*係数!$H$30</f>
        <v>0</v>
      </c>
      <c r="M242" s="61">
        <f>K242*係数!$C$30*0.0000258</f>
        <v>0</v>
      </c>
      <c r="N242" s="12"/>
      <c r="O242" s="3"/>
      <c r="P242" s="3"/>
      <c r="Q242" s="84" t="s">
        <v>382</v>
      </c>
      <c r="R242" s="3"/>
      <c r="S242" s="488">
        <f t="shared" si="23"/>
        <v>0</v>
      </c>
      <c r="T242" s="8">
        <f t="shared" si="24"/>
        <v>0</v>
      </c>
      <c r="U242" s="61">
        <f>T242*係数!$H$30</f>
        <v>0</v>
      </c>
      <c r="V242" s="61">
        <f>T242*係数!$C$30*0.0000258</f>
        <v>0</v>
      </c>
      <c r="W242" s="8">
        <f t="shared" si="25"/>
        <v>0</v>
      </c>
      <c r="X242" s="272">
        <f t="shared" si="26"/>
        <v>0</v>
      </c>
      <c r="Y242" s="489">
        <f t="shared" si="27"/>
        <v>0</v>
      </c>
    </row>
    <row r="243" spans="2:25">
      <c r="B243" s="100" t="s">
        <v>569</v>
      </c>
      <c r="C243" s="12"/>
      <c r="D243" s="3"/>
      <c r="E243" s="77"/>
      <c r="F243" s="62"/>
      <c r="G243" s="62"/>
      <c r="H243" s="84" t="s">
        <v>382</v>
      </c>
      <c r="I243" s="3"/>
      <c r="J243" s="60">
        <f t="shared" si="28"/>
        <v>0</v>
      </c>
      <c r="K243" s="60">
        <f t="shared" si="22"/>
        <v>0</v>
      </c>
      <c r="L243" s="61">
        <f>K243*係数!$H$30</f>
        <v>0</v>
      </c>
      <c r="M243" s="61">
        <f>K243*係数!$C$30*0.0000258</f>
        <v>0</v>
      </c>
      <c r="N243" s="12"/>
      <c r="O243" s="3"/>
      <c r="P243" s="3"/>
      <c r="Q243" s="84" t="s">
        <v>382</v>
      </c>
      <c r="R243" s="3"/>
      <c r="S243" s="488">
        <f t="shared" si="23"/>
        <v>0</v>
      </c>
      <c r="T243" s="8">
        <f t="shared" si="24"/>
        <v>0</v>
      </c>
      <c r="U243" s="61">
        <f>T243*係数!$H$30</f>
        <v>0</v>
      </c>
      <c r="V243" s="61">
        <f>T243*係数!$C$30*0.0000258</f>
        <v>0</v>
      </c>
      <c r="W243" s="8">
        <f t="shared" si="25"/>
        <v>0</v>
      </c>
      <c r="X243" s="272">
        <f t="shared" si="26"/>
        <v>0</v>
      </c>
      <c r="Y243" s="489">
        <f t="shared" si="27"/>
        <v>0</v>
      </c>
    </row>
    <row r="244" spans="2:25">
      <c r="B244" s="100" t="s">
        <v>570</v>
      </c>
      <c r="C244" s="12"/>
      <c r="D244" s="3"/>
      <c r="E244" s="77"/>
      <c r="F244" s="62"/>
      <c r="G244" s="62"/>
      <c r="H244" s="84" t="s">
        <v>382</v>
      </c>
      <c r="I244" s="3"/>
      <c r="J244" s="60">
        <f t="shared" si="28"/>
        <v>0</v>
      </c>
      <c r="K244" s="60">
        <f t="shared" si="22"/>
        <v>0</v>
      </c>
      <c r="L244" s="61">
        <f>K244*係数!$H$30</f>
        <v>0</v>
      </c>
      <c r="M244" s="61">
        <f>K244*係数!$C$30*0.0000258</f>
        <v>0</v>
      </c>
      <c r="N244" s="12"/>
      <c r="O244" s="3"/>
      <c r="P244" s="3"/>
      <c r="Q244" s="84" t="s">
        <v>382</v>
      </c>
      <c r="R244" s="3"/>
      <c r="S244" s="488">
        <f t="shared" si="23"/>
        <v>0</v>
      </c>
      <c r="T244" s="8">
        <f t="shared" si="24"/>
        <v>0</v>
      </c>
      <c r="U244" s="61">
        <f>T244*係数!$H$30</f>
        <v>0</v>
      </c>
      <c r="V244" s="61">
        <f>T244*係数!$C$30*0.0000258</f>
        <v>0</v>
      </c>
      <c r="W244" s="8">
        <f t="shared" si="25"/>
        <v>0</v>
      </c>
      <c r="X244" s="272">
        <f t="shared" si="26"/>
        <v>0</v>
      </c>
      <c r="Y244" s="489">
        <f t="shared" si="27"/>
        <v>0</v>
      </c>
    </row>
    <row r="245" spans="2:25">
      <c r="B245" s="100" t="s">
        <v>571</v>
      </c>
      <c r="C245" s="12"/>
      <c r="D245" s="3"/>
      <c r="E245" s="77"/>
      <c r="F245" s="62"/>
      <c r="G245" s="62"/>
      <c r="H245" s="84" t="s">
        <v>382</v>
      </c>
      <c r="I245" s="3"/>
      <c r="J245" s="60">
        <f t="shared" si="28"/>
        <v>0</v>
      </c>
      <c r="K245" s="60">
        <f t="shared" si="22"/>
        <v>0</v>
      </c>
      <c r="L245" s="61">
        <f>K245*係数!$H$30</f>
        <v>0</v>
      </c>
      <c r="M245" s="61">
        <f>K245*係数!$C$30*0.0000258</f>
        <v>0</v>
      </c>
      <c r="N245" s="12"/>
      <c r="O245" s="3"/>
      <c r="P245" s="3"/>
      <c r="Q245" s="84" t="s">
        <v>382</v>
      </c>
      <c r="R245" s="3"/>
      <c r="S245" s="488">
        <f t="shared" si="23"/>
        <v>0</v>
      </c>
      <c r="T245" s="8">
        <f t="shared" si="24"/>
        <v>0</v>
      </c>
      <c r="U245" s="61">
        <f>T245*係数!$H$30</f>
        <v>0</v>
      </c>
      <c r="V245" s="61">
        <f>T245*係数!$C$30*0.0000258</f>
        <v>0</v>
      </c>
      <c r="W245" s="8">
        <f t="shared" si="25"/>
        <v>0</v>
      </c>
      <c r="X245" s="272">
        <f t="shared" si="26"/>
        <v>0</v>
      </c>
      <c r="Y245" s="489">
        <f t="shared" si="27"/>
        <v>0</v>
      </c>
    </row>
    <row r="246" spans="2:25">
      <c r="B246" s="100" t="s">
        <v>572</v>
      </c>
      <c r="C246" s="12"/>
      <c r="D246" s="3"/>
      <c r="E246" s="77"/>
      <c r="F246" s="62"/>
      <c r="G246" s="62"/>
      <c r="H246" s="84" t="s">
        <v>382</v>
      </c>
      <c r="I246" s="3"/>
      <c r="J246" s="60">
        <f t="shared" si="28"/>
        <v>0</v>
      </c>
      <c r="K246" s="60">
        <f t="shared" si="22"/>
        <v>0</v>
      </c>
      <c r="L246" s="61">
        <f>K246*係数!$H$30</f>
        <v>0</v>
      </c>
      <c r="M246" s="61">
        <f>K246*係数!$C$30*0.0000258</f>
        <v>0</v>
      </c>
      <c r="N246" s="12"/>
      <c r="O246" s="3"/>
      <c r="P246" s="3"/>
      <c r="Q246" s="84" t="s">
        <v>382</v>
      </c>
      <c r="R246" s="3"/>
      <c r="S246" s="488">
        <f t="shared" si="23"/>
        <v>0</v>
      </c>
      <c r="T246" s="8">
        <f t="shared" si="24"/>
        <v>0</v>
      </c>
      <c r="U246" s="61">
        <f>T246*係数!$H$30</f>
        <v>0</v>
      </c>
      <c r="V246" s="61">
        <f>T246*係数!$C$30*0.0000258</f>
        <v>0</v>
      </c>
      <c r="W246" s="8">
        <f t="shared" si="25"/>
        <v>0</v>
      </c>
      <c r="X246" s="272">
        <f t="shared" si="26"/>
        <v>0</v>
      </c>
      <c r="Y246" s="489">
        <f t="shared" si="27"/>
        <v>0</v>
      </c>
    </row>
    <row r="247" spans="2:25">
      <c r="B247" s="100" t="s">
        <v>573</v>
      </c>
      <c r="C247" s="12"/>
      <c r="D247" s="3"/>
      <c r="E247" s="77"/>
      <c r="F247" s="62"/>
      <c r="G247" s="62"/>
      <c r="H247" s="84" t="s">
        <v>382</v>
      </c>
      <c r="I247" s="3"/>
      <c r="J247" s="60">
        <f t="shared" si="28"/>
        <v>0</v>
      </c>
      <c r="K247" s="60">
        <f t="shared" si="22"/>
        <v>0</v>
      </c>
      <c r="L247" s="61">
        <f>K247*係数!$H$30</f>
        <v>0</v>
      </c>
      <c r="M247" s="61">
        <f>K247*係数!$C$30*0.0000258</f>
        <v>0</v>
      </c>
      <c r="N247" s="12"/>
      <c r="O247" s="3"/>
      <c r="P247" s="3"/>
      <c r="Q247" s="84" t="s">
        <v>382</v>
      </c>
      <c r="R247" s="3"/>
      <c r="S247" s="488">
        <f t="shared" si="23"/>
        <v>0</v>
      </c>
      <c r="T247" s="8">
        <f t="shared" si="24"/>
        <v>0</v>
      </c>
      <c r="U247" s="61">
        <f>T247*係数!$H$30</f>
        <v>0</v>
      </c>
      <c r="V247" s="61">
        <f>T247*係数!$C$30*0.0000258</f>
        <v>0</v>
      </c>
      <c r="W247" s="8">
        <f t="shared" si="25"/>
        <v>0</v>
      </c>
      <c r="X247" s="272">
        <f t="shared" si="26"/>
        <v>0</v>
      </c>
      <c r="Y247" s="489">
        <f t="shared" si="27"/>
        <v>0</v>
      </c>
    </row>
    <row r="248" spans="2:25">
      <c r="B248" s="100" t="s">
        <v>574</v>
      </c>
      <c r="C248" s="12"/>
      <c r="D248" s="3"/>
      <c r="E248" s="77"/>
      <c r="F248" s="62"/>
      <c r="G248" s="62"/>
      <c r="H248" s="84" t="s">
        <v>382</v>
      </c>
      <c r="I248" s="3"/>
      <c r="J248" s="60">
        <f t="shared" si="28"/>
        <v>0</v>
      </c>
      <c r="K248" s="60">
        <f t="shared" si="22"/>
        <v>0</v>
      </c>
      <c r="L248" s="61">
        <f>K248*係数!$H$30</f>
        <v>0</v>
      </c>
      <c r="M248" s="61">
        <f>K248*係数!$C$30*0.0000258</f>
        <v>0</v>
      </c>
      <c r="N248" s="12"/>
      <c r="O248" s="3"/>
      <c r="P248" s="3"/>
      <c r="Q248" s="84" t="s">
        <v>382</v>
      </c>
      <c r="R248" s="3"/>
      <c r="S248" s="488">
        <f t="shared" si="23"/>
        <v>0</v>
      </c>
      <c r="T248" s="8">
        <f t="shared" si="24"/>
        <v>0</v>
      </c>
      <c r="U248" s="61">
        <f>T248*係数!$H$30</f>
        <v>0</v>
      </c>
      <c r="V248" s="61">
        <f>T248*係数!$C$30*0.0000258</f>
        <v>0</v>
      </c>
      <c r="W248" s="8">
        <f t="shared" si="25"/>
        <v>0</v>
      </c>
      <c r="X248" s="272">
        <f t="shared" si="26"/>
        <v>0</v>
      </c>
      <c r="Y248" s="489">
        <f t="shared" si="27"/>
        <v>0</v>
      </c>
    </row>
    <row r="249" spans="2:25">
      <c r="B249" s="100" t="s">
        <v>575</v>
      </c>
      <c r="C249" s="12"/>
      <c r="D249" s="3"/>
      <c r="E249" s="77"/>
      <c r="F249" s="62"/>
      <c r="G249" s="62"/>
      <c r="H249" s="84" t="s">
        <v>382</v>
      </c>
      <c r="I249" s="3"/>
      <c r="J249" s="60">
        <f t="shared" si="28"/>
        <v>0</v>
      </c>
      <c r="K249" s="60">
        <f t="shared" si="22"/>
        <v>0</v>
      </c>
      <c r="L249" s="61">
        <f>K249*係数!$H$30</f>
        <v>0</v>
      </c>
      <c r="M249" s="61">
        <f>K249*係数!$C$30*0.0000258</f>
        <v>0</v>
      </c>
      <c r="N249" s="12"/>
      <c r="O249" s="3"/>
      <c r="P249" s="3"/>
      <c r="Q249" s="84" t="s">
        <v>382</v>
      </c>
      <c r="R249" s="3"/>
      <c r="S249" s="488">
        <f t="shared" si="23"/>
        <v>0</v>
      </c>
      <c r="T249" s="8">
        <f t="shared" si="24"/>
        <v>0</v>
      </c>
      <c r="U249" s="61">
        <f>T249*係数!$H$30</f>
        <v>0</v>
      </c>
      <c r="V249" s="61">
        <f>T249*係数!$C$30*0.0000258</f>
        <v>0</v>
      </c>
      <c r="W249" s="8">
        <f t="shared" si="25"/>
        <v>0</v>
      </c>
      <c r="X249" s="272">
        <f t="shared" si="26"/>
        <v>0</v>
      </c>
      <c r="Y249" s="489">
        <f t="shared" si="27"/>
        <v>0</v>
      </c>
    </row>
    <row r="250" spans="2:25">
      <c r="B250" s="100" t="s">
        <v>576</v>
      </c>
      <c r="C250" s="12"/>
      <c r="D250" s="3"/>
      <c r="E250" s="77"/>
      <c r="F250" s="62"/>
      <c r="G250" s="62"/>
      <c r="H250" s="84" t="s">
        <v>382</v>
      </c>
      <c r="I250" s="3"/>
      <c r="J250" s="60">
        <f t="shared" si="28"/>
        <v>0</v>
      </c>
      <c r="K250" s="60">
        <f t="shared" si="22"/>
        <v>0</v>
      </c>
      <c r="L250" s="61">
        <f>K250*係数!$H$30</f>
        <v>0</v>
      </c>
      <c r="M250" s="61">
        <f>K250*係数!$C$30*0.0000258</f>
        <v>0</v>
      </c>
      <c r="N250" s="12"/>
      <c r="O250" s="3"/>
      <c r="P250" s="3"/>
      <c r="Q250" s="84" t="s">
        <v>382</v>
      </c>
      <c r="R250" s="3"/>
      <c r="S250" s="488">
        <f t="shared" si="23"/>
        <v>0</v>
      </c>
      <c r="T250" s="8">
        <f t="shared" si="24"/>
        <v>0</v>
      </c>
      <c r="U250" s="61">
        <f>T250*係数!$H$30</f>
        <v>0</v>
      </c>
      <c r="V250" s="61">
        <f>T250*係数!$C$30*0.0000258</f>
        <v>0</v>
      </c>
      <c r="W250" s="8">
        <f t="shared" si="25"/>
        <v>0</v>
      </c>
      <c r="X250" s="272">
        <f t="shared" si="26"/>
        <v>0</v>
      </c>
      <c r="Y250" s="489">
        <f t="shared" si="27"/>
        <v>0</v>
      </c>
    </row>
    <row r="251" spans="2:25">
      <c r="B251" s="100" t="s">
        <v>577</v>
      </c>
      <c r="C251" s="12"/>
      <c r="D251" s="3"/>
      <c r="E251" s="77"/>
      <c r="F251" s="62"/>
      <c r="G251" s="62"/>
      <c r="H251" s="84" t="s">
        <v>382</v>
      </c>
      <c r="I251" s="3"/>
      <c r="J251" s="60">
        <f t="shared" si="28"/>
        <v>0</v>
      </c>
      <c r="K251" s="60">
        <f t="shared" si="22"/>
        <v>0</v>
      </c>
      <c r="L251" s="61">
        <f>K251*係数!$H$30</f>
        <v>0</v>
      </c>
      <c r="M251" s="61">
        <f>K251*係数!$C$30*0.0000258</f>
        <v>0</v>
      </c>
      <c r="N251" s="12"/>
      <c r="O251" s="3"/>
      <c r="P251" s="3"/>
      <c r="Q251" s="84" t="s">
        <v>382</v>
      </c>
      <c r="R251" s="3"/>
      <c r="S251" s="488">
        <f t="shared" si="23"/>
        <v>0</v>
      </c>
      <c r="T251" s="8">
        <f t="shared" si="24"/>
        <v>0</v>
      </c>
      <c r="U251" s="61">
        <f>T251*係数!$H$30</f>
        <v>0</v>
      </c>
      <c r="V251" s="61">
        <f>T251*係数!$C$30*0.0000258</f>
        <v>0</v>
      </c>
      <c r="W251" s="8">
        <f t="shared" si="25"/>
        <v>0</v>
      </c>
      <c r="X251" s="272">
        <f t="shared" si="26"/>
        <v>0</v>
      </c>
      <c r="Y251" s="489">
        <f t="shared" si="27"/>
        <v>0</v>
      </c>
    </row>
    <row r="252" spans="2:25">
      <c r="B252" s="100" t="s">
        <v>578</v>
      </c>
      <c r="C252" s="12"/>
      <c r="D252" s="3"/>
      <c r="E252" s="77"/>
      <c r="F252" s="62"/>
      <c r="G252" s="62"/>
      <c r="H252" s="84" t="s">
        <v>382</v>
      </c>
      <c r="I252" s="3"/>
      <c r="J252" s="60">
        <f t="shared" si="28"/>
        <v>0</v>
      </c>
      <c r="K252" s="60">
        <f t="shared" si="22"/>
        <v>0</v>
      </c>
      <c r="L252" s="61">
        <f>K252*係数!$H$30</f>
        <v>0</v>
      </c>
      <c r="M252" s="61">
        <f>K252*係数!$C$30*0.0000258</f>
        <v>0</v>
      </c>
      <c r="N252" s="12"/>
      <c r="O252" s="3"/>
      <c r="P252" s="3"/>
      <c r="Q252" s="84" t="s">
        <v>382</v>
      </c>
      <c r="R252" s="3"/>
      <c r="S252" s="488">
        <f t="shared" si="23"/>
        <v>0</v>
      </c>
      <c r="T252" s="8">
        <f t="shared" si="24"/>
        <v>0</v>
      </c>
      <c r="U252" s="61">
        <f>T252*係数!$H$30</f>
        <v>0</v>
      </c>
      <c r="V252" s="61">
        <f>T252*係数!$C$30*0.0000258</f>
        <v>0</v>
      </c>
      <c r="W252" s="8">
        <f t="shared" si="25"/>
        <v>0</v>
      </c>
      <c r="X252" s="272">
        <f t="shared" si="26"/>
        <v>0</v>
      </c>
      <c r="Y252" s="489">
        <f t="shared" si="27"/>
        <v>0</v>
      </c>
    </row>
    <row r="253" spans="2:25">
      <c r="B253" s="100" t="s">
        <v>579</v>
      </c>
      <c r="C253" s="12"/>
      <c r="D253" s="3"/>
      <c r="E253" s="77"/>
      <c r="F253" s="62"/>
      <c r="G253" s="62"/>
      <c r="H253" s="84" t="s">
        <v>382</v>
      </c>
      <c r="I253" s="3"/>
      <c r="J253" s="60">
        <f t="shared" si="28"/>
        <v>0</v>
      </c>
      <c r="K253" s="60">
        <f t="shared" si="22"/>
        <v>0</v>
      </c>
      <c r="L253" s="61">
        <f>K253*係数!$H$30</f>
        <v>0</v>
      </c>
      <c r="M253" s="61">
        <f>K253*係数!$C$30*0.0000258</f>
        <v>0</v>
      </c>
      <c r="N253" s="12"/>
      <c r="O253" s="3"/>
      <c r="P253" s="3"/>
      <c r="Q253" s="84" t="s">
        <v>382</v>
      </c>
      <c r="R253" s="3"/>
      <c r="S253" s="488">
        <f t="shared" si="23"/>
        <v>0</v>
      </c>
      <c r="T253" s="8">
        <f t="shared" si="24"/>
        <v>0</v>
      </c>
      <c r="U253" s="61">
        <f>T253*係数!$H$30</f>
        <v>0</v>
      </c>
      <c r="V253" s="61">
        <f>T253*係数!$C$30*0.0000258</f>
        <v>0</v>
      </c>
      <c r="W253" s="8">
        <f t="shared" si="25"/>
        <v>0</v>
      </c>
      <c r="X253" s="272">
        <f t="shared" si="26"/>
        <v>0</v>
      </c>
      <c r="Y253" s="489">
        <f t="shared" si="27"/>
        <v>0</v>
      </c>
    </row>
    <row r="254" spans="2:25">
      <c r="B254" s="100" t="s">
        <v>580</v>
      </c>
      <c r="C254" s="12"/>
      <c r="D254" s="3"/>
      <c r="E254" s="77"/>
      <c r="F254" s="62"/>
      <c r="G254" s="62"/>
      <c r="H254" s="84" t="s">
        <v>382</v>
      </c>
      <c r="I254" s="3"/>
      <c r="J254" s="60">
        <f t="shared" si="28"/>
        <v>0</v>
      </c>
      <c r="K254" s="60">
        <f t="shared" si="22"/>
        <v>0</v>
      </c>
      <c r="L254" s="61">
        <f>K254*係数!$H$30</f>
        <v>0</v>
      </c>
      <c r="M254" s="61">
        <f>K254*係数!$C$30*0.0000258</f>
        <v>0</v>
      </c>
      <c r="N254" s="12"/>
      <c r="O254" s="3"/>
      <c r="P254" s="3"/>
      <c r="Q254" s="84" t="s">
        <v>382</v>
      </c>
      <c r="R254" s="3"/>
      <c r="S254" s="488">
        <f t="shared" si="23"/>
        <v>0</v>
      </c>
      <c r="T254" s="8">
        <f t="shared" si="24"/>
        <v>0</v>
      </c>
      <c r="U254" s="61">
        <f>T254*係数!$H$30</f>
        <v>0</v>
      </c>
      <c r="V254" s="61">
        <f>T254*係数!$C$30*0.0000258</f>
        <v>0</v>
      </c>
      <c r="W254" s="8">
        <f t="shared" si="25"/>
        <v>0</v>
      </c>
      <c r="X254" s="272">
        <f t="shared" si="26"/>
        <v>0</v>
      </c>
      <c r="Y254" s="489">
        <f t="shared" si="27"/>
        <v>0</v>
      </c>
    </row>
    <row r="255" spans="2:25">
      <c r="B255" s="100" t="s">
        <v>581</v>
      </c>
      <c r="C255" s="12"/>
      <c r="D255" s="3"/>
      <c r="E255" s="77"/>
      <c r="F255" s="62"/>
      <c r="G255" s="62"/>
      <c r="H255" s="84" t="s">
        <v>382</v>
      </c>
      <c r="I255" s="3"/>
      <c r="J255" s="60">
        <f t="shared" si="28"/>
        <v>0</v>
      </c>
      <c r="K255" s="60">
        <f t="shared" si="22"/>
        <v>0</v>
      </c>
      <c r="L255" s="61">
        <f>K255*係数!$H$30</f>
        <v>0</v>
      </c>
      <c r="M255" s="61">
        <f>K255*係数!$C$30*0.0000258</f>
        <v>0</v>
      </c>
      <c r="N255" s="12"/>
      <c r="O255" s="3"/>
      <c r="P255" s="3"/>
      <c r="Q255" s="84" t="s">
        <v>382</v>
      </c>
      <c r="R255" s="3"/>
      <c r="S255" s="488">
        <f t="shared" si="23"/>
        <v>0</v>
      </c>
      <c r="T255" s="8">
        <f t="shared" si="24"/>
        <v>0</v>
      </c>
      <c r="U255" s="61">
        <f>T255*係数!$H$30</f>
        <v>0</v>
      </c>
      <c r="V255" s="61">
        <f>T255*係数!$C$30*0.0000258</f>
        <v>0</v>
      </c>
      <c r="W255" s="8">
        <f t="shared" si="25"/>
        <v>0</v>
      </c>
      <c r="X255" s="272">
        <f t="shared" si="26"/>
        <v>0</v>
      </c>
      <c r="Y255" s="489">
        <f t="shared" si="27"/>
        <v>0</v>
      </c>
    </row>
    <row r="256" spans="2:25">
      <c r="B256" s="100" t="s">
        <v>582</v>
      </c>
      <c r="C256" s="12"/>
      <c r="D256" s="3"/>
      <c r="E256" s="77"/>
      <c r="F256" s="62"/>
      <c r="G256" s="62"/>
      <c r="H256" s="84" t="s">
        <v>382</v>
      </c>
      <c r="I256" s="3"/>
      <c r="J256" s="60">
        <f t="shared" si="28"/>
        <v>0</v>
      </c>
      <c r="K256" s="60">
        <f t="shared" si="22"/>
        <v>0</v>
      </c>
      <c r="L256" s="61">
        <f>K256*係数!$H$30</f>
        <v>0</v>
      </c>
      <c r="M256" s="61">
        <f>K256*係数!$C$30*0.0000258</f>
        <v>0</v>
      </c>
      <c r="N256" s="12"/>
      <c r="O256" s="3"/>
      <c r="P256" s="3"/>
      <c r="Q256" s="84" t="s">
        <v>382</v>
      </c>
      <c r="R256" s="3"/>
      <c r="S256" s="488">
        <f t="shared" si="23"/>
        <v>0</v>
      </c>
      <c r="T256" s="8">
        <f t="shared" si="24"/>
        <v>0</v>
      </c>
      <c r="U256" s="61">
        <f>T256*係数!$H$30</f>
        <v>0</v>
      </c>
      <c r="V256" s="61">
        <f>T256*係数!$C$30*0.0000258</f>
        <v>0</v>
      </c>
      <c r="W256" s="8">
        <f t="shared" si="25"/>
        <v>0</v>
      </c>
      <c r="X256" s="272">
        <f t="shared" si="26"/>
        <v>0</v>
      </c>
      <c r="Y256" s="489">
        <f t="shared" si="27"/>
        <v>0</v>
      </c>
    </row>
    <row r="257" spans="2:25">
      <c r="B257" s="100" t="s">
        <v>583</v>
      </c>
      <c r="C257" s="12"/>
      <c r="D257" s="3"/>
      <c r="E257" s="77"/>
      <c r="F257" s="62"/>
      <c r="G257" s="62"/>
      <c r="H257" s="84" t="s">
        <v>382</v>
      </c>
      <c r="I257" s="3"/>
      <c r="J257" s="60">
        <f t="shared" si="28"/>
        <v>0</v>
      </c>
      <c r="K257" s="60">
        <f t="shared" si="22"/>
        <v>0</v>
      </c>
      <c r="L257" s="61">
        <f>K257*係数!$H$30</f>
        <v>0</v>
      </c>
      <c r="M257" s="61">
        <f>K257*係数!$C$30*0.0000258</f>
        <v>0</v>
      </c>
      <c r="N257" s="12"/>
      <c r="O257" s="3"/>
      <c r="P257" s="3"/>
      <c r="Q257" s="84" t="s">
        <v>382</v>
      </c>
      <c r="R257" s="3"/>
      <c r="S257" s="488">
        <f t="shared" si="23"/>
        <v>0</v>
      </c>
      <c r="T257" s="8">
        <f t="shared" si="24"/>
        <v>0</v>
      </c>
      <c r="U257" s="61">
        <f>T257*係数!$H$30</f>
        <v>0</v>
      </c>
      <c r="V257" s="61">
        <f>T257*係数!$C$30*0.0000258</f>
        <v>0</v>
      </c>
      <c r="W257" s="8">
        <f t="shared" si="25"/>
        <v>0</v>
      </c>
      <c r="X257" s="272">
        <f t="shared" si="26"/>
        <v>0</v>
      </c>
      <c r="Y257" s="489">
        <f t="shared" si="27"/>
        <v>0</v>
      </c>
    </row>
    <row r="258" spans="2:25">
      <c r="B258" s="100" t="s">
        <v>584</v>
      </c>
      <c r="C258" s="12"/>
      <c r="D258" s="3"/>
      <c r="E258" s="77"/>
      <c r="F258" s="62"/>
      <c r="G258" s="62"/>
      <c r="H258" s="84" t="s">
        <v>382</v>
      </c>
      <c r="I258" s="3"/>
      <c r="J258" s="60">
        <f t="shared" si="28"/>
        <v>0</v>
      </c>
      <c r="K258" s="60">
        <f t="shared" si="22"/>
        <v>0</v>
      </c>
      <c r="L258" s="61">
        <f>K258*係数!$H$30</f>
        <v>0</v>
      </c>
      <c r="M258" s="61">
        <f>K258*係数!$C$30*0.0000258</f>
        <v>0</v>
      </c>
      <c r="N258" s="12"/>
      <c r="O258" s="3"/>
      <c r="P258" s="3"/>
      <c r="Q258" s="84" t="s">
        <v>382</v>
      </c>
      <c r="R258" s="3"/>
      <c r="S258" s="488">
        <f t="shared" si="23"/>
        <v>0</v>
      </c>
      <c r="T258" s="8">
        <f t="shared" si="24"/>
        <v>0</v>
      </c>
      <c r="U258" s="61">
        <f>T258*係数!$H$30</f>
        <v>0</v>
      </c>
      <c r="V258" s="61">
        <f>T258*係数!$C$30*0.0000258</f>
        <v>0</v>
      </c>
      <c r="W258" s="8">
        <f t="shared" si="25"/>
        <v>0</v>
      </c>
      <c r="X258" s="272">
        <f t="shared" si="26"/>
        <v>0</v>
      </c>
      <c r="Y258" s="489">
        <f t="shared" si="27"/>
        <v>0</v>
      </c>
    </row>
    <row r="259" spans="2:25">
      <c r="B259" s="100" t="s">
        <v>585</v>
      </c>
      <c r="C259" s="12"/>
      <c r="D259" s="3"/>
      <c r="E259" s="77"/>
      <c r="F259" s="62"/>
      <c r="G259" s="62"/>
      <c r="H259" s="84" t="s">
        <v>382</v>
      </c>
      <c r="I259" s="3"/>
      <c r="J259" s="60">
        <f t="shared" si="28"/>
        <v>0</v>
      </c>
      <c r="K259" s="60">
        <f t="shared" si="22"/>
        <v>0</v>
      </c>
      <c r="L259" s="61">
        <f>K259*係数!$H$30</f>
        <v>0</v>
      </c>
      <c r="M259" s="61">
        <f>K259*係数!$C$30*0.0000258</f>
        <v>0</v>
      </c>
      <c r="N259" s="12"/>
      <c r="O259" s="3"/>
      <c r="P259" s="3"/>
      <c r="Q259" s="84" t="s">
        <v>382</v>
      </c>
      <c r="R259" s="3"/>
      <c r="S259" s="488">
        <f t="shared" si="23"/>
        <v>0</v>
      </c>
      <c r="T259" s="8">
        <f t="shared" si="24"/>
        <v>0</v>
      </c>
      <c r="U259" s="61">
        <f>T259*係数!$H$30</f>
        <v>0</v>
      </c>
      <c r="V259" s="61">
        <f>T259*係数!$C$30*0.0000258</f>
        <v>0</v>
      </c>
      <c r="W259" s="8">
        <f t="shared" si="25"/>
        <v>0</v>
      </c>
      <c r="X259" s="272">
        <f t="shared" si="26"/>
        <v>0</v>
      </c>
      <c r="Y259" s="489">
        <f t="shared" si="27"/>
        <v>0</v>
      </c>
    </row>
    <row r="260" spans="2:25">
      <c r="B260" s="100" t="s">
        <v>586</v>
      </c>
      <c r="C260" s="12"/>
      <c r="D260" s="3"/>
      <c r="E260" s="77"/>
      <c r="F260" s="62"/>
      <c r="G260" s="62"/>
      <c r="H260" s="84" t="s">
        <v>382</v>
      </c>
      <c r="I260" s="3"/>
      <c r="J260" s="60">
        <f t="shared" si="28"/>
        <v>0</v>
      </c>
      <c r="K260" s="60">
        <f t="shared" si="22"/>
        <v>0</v>
      </c>
      <c r="L260" s="61">
        <f>K260*係数!$H$30</f>
        <v>0</v>
      </c>
      <c r="M260" s="61">
        <f>K260*係数!$C$30*0.0000258</f>
        <v>0</v>
      </c>
      <c r="N260" s="12"/>
      <c r="O260" s="3"/>
      <c r="P260" s="3"/>
      <c r="Q260" s="84" t="s">
        <v>382</v>
      </c>
      <c r="R260" s="3"/>
      <c r="S260" s="488">
        <f t="shared" si="23"/>
        <v>0</v>
      </c>
      <c r="T260" s="8">
        <f t="shared" si="24"/>
        <v>0</v>
      </c>
      <c r="U260" s="61">
        <f>T260*係数!$H$30</f>
        <v>0</v>
      </c>
      <c r="V260" s="61">
        <f>T260*係数!$C$30*0.0000258</f>
        <v>0</v>
      </c>
      <c r="W260" s="8">
        <f t="shared" si="25"/>
        <v>0</v>
      </c>
      <c r="X260" s="272">
        <f t="shared" si="26"/>
        <v>0</v>
      </c>
      <c r="Y260" s="489">
        <f t="shared" si="27"/>
        <v>0</v>
      </c>
    </row>
    <row r="261" spans="2:25">
      <c r="B261" s="100" t="s">
        <v>587</v>
      </c>
      <c r="C261" s="12"/>
      <c r="D261" s="3"/>
      <c r="E261" s="77"/>
      <c r="F261" s="62"/>
      <c r="G261" s="62"/>
      <c r="H261" s="84" t="s">
        <v>382</v>
      </c>
      <c r="I261" s="3"/>
      <c r="J261" s="60">
        <f t="shared" si="28"/>
        <v>0</v>
      </c>
      <c r="K261" s="60">
        <f t="shared" si="22"/>
        <v>0</v>
      </c>
      <c r="L261" s="61">
        <f>K261*係数!$H$30</f>
        <v>0</v>
      </c>
      <c r="M261" s="61">
        <f>K261*係数!$C$30*0.0000258</f>
        <v>0</v>
      </c>
      <c r="N261" s="12"/>
      <c r="O261" s="3"/>
      <c r="P261" s="3"/>
      <c r="Q261" s="84" t="s">
        <v>382</v>
      </c>
      <c r="R261" s="3"/>
      <c r="S261" s="488">
        <f t="shared" si="23"/>
        <v>0</v>
      </c>
      <c r="T261" s="8">
        <f t="shared" si="24"/>
        <v>0</v>
      </c>
      <c r="U261" s="61">
        <f>T261*係数!$H$30</f>
        <v>0</v>
      </c>
      <c r="V261" s="61">
        <f>T261*係数!$C$30*0.0000258</f>
        <v>0</v>
      </c>
      <c r="W261" s="8">
        <f t="shared" si="25"/>
        <v>0</v>
      </c>
      <c r="X261" s="272">
        <f t="shared" si="26"/>
        <v>0</v>
      </c>
      <c r="Y261" s="489">
        <f t="shared" si="27"/>
        <v>0</v>
      </c>
    </row>
    <row r="262" spans="2:25">
      <c r="B262" s="100" t="s">
        <v>588</v>
      </c>
      <c r="C262" s="12"/>
      <c r="D262" s="3"/>
      <c r="E262" s="77"/>
      <c r="F262" s="62"/>
      <c r="G262" s="62"/>
      <c r="H262" s="84" t="s">
        <v>382</v>
      </c>
      <c r="I262" s="3"/>
      <c r="J262" s="60">
        <f t="shared" si="28"/>
        <v>0</v>
      </c>
      <c r="K262" s="60">
        <f t="shared" si="22"/>
        <v>0</v>
      </c>
      <c r="L262" s="61">
        <f>K262*係数!$H$30</f>
        <v>0</v>
      </c>
      <c r="M262" s="61">
        <f>K262*係数!$C$30*0.0000258</f>
        <v>0</v>
      </c>
      <c r="N262" s="12"/>
      <c r="O262" s="3"/>
      <c r="P262" s="3"/>
      <c r="Q262" s="84" t="s">
        <v>382</v>
      </c>
      <c r="R262" s="3"/>
      <c r="S262" s="488">
        <f t="shared" si="23"/>
        <v>0</v>
      </c>
      <c r="T262" s="8">
        <f t="shared" si="24"/>
        <v>0</v>
      </c>
      <c r="U262" s="61">
        <f>T262*係数!$H$30</f>
        <v>0</v>
      </c>
      <c r="V262" s="61">
        <f>T262*係数!$C$30*0.0000258</f>
        <v>0</v>
      </c>
      <c r="W262" s="8">
        <f t="shared" si="25"/>
        <v>0</v>
      </c>
      <c r="X262" s="272">
        <f t="shared" si="26"/>
        <v>0</v>
      </c>
      <c r="Y262" s="489">
        <f t="shared" si="27"/>
        <v>0</v>
      </c>
    </row>
    <row r="263" spans="2:25">
      <c r="B263" s="100" t="s">
        <v>589</v>
      </c>
      <c r="C263" s="12"/>
      <c r="D263" s="3"/>
      <c r="E263" s="77"/>
      <c r="F263" s="62"/>
      <c r="G263" s="62"/>
      <c r="H263" s="84" t="s">
        <v>382</v>
      </c>
      <c r="I263" s="3"/>
      <c r="J263" s="60">
        <f t="shared" si="28"/>
        <v>0</v>
      </c>
      <c r="K263" s="60">
        <f t="shared" si="22"/>
        <v>0</v>
      </c>
      <c r="L263" s="61">
        <f>K263*係数!$H$30</f>
        <v>0</v>
      </c>
      <c r="M263" s="61">
        <f>K263*係数!$C$30*0.0000258</f>
        <v>0</v>
      </c>
      <c r="N263" s="12"/>
      <c r="O263" s="3"/>
      <c r="P263" s="3"/>
      <c r="Q263" s="84" t="s">
        <v>382</v>
      </c>
      <c r="R263" s="3"/>
      <c r="S263" s="488">
        <f t="shared" si="23"/>
        <v>0</v>
      </c>
      <c r="T263" s="8">
        <f t="shared" si="24"/>
        <v>0</v>
      </c>
      <c r="U263" s="61">
        <f>T263*係数!$H$30</f>
        <v>0</v>
      </c>
      <c r="V263" s="61">
        <f>T263*係数!$C$30*0.0000258</f>
        <v>0</v>
      </c>
      <c r="W263" s="8">
        <f t="shared" si="25"/>
        <v>0</v>
      </c>
      <c r="X263" s="272">
        <f t="shared" si="26"/>
        <v>0</v>
      </c>
      <c r="Y263" s="489">
        <f t="shared" si="27"/>
        <v>0</v>
      </c>
    </row>
    <row r="264" spans="2:25">
      <c r="B264" s="100" t="s">
        <v>590</v>
      </c>
      <c r="C264" s="12"/>
      <c r="D264" s="3"/>
      <c r="E264" s="77"/>
      <c r="F264" s="62"/>
      <c r="G264" s="62"/>
      <c r="H264" s="84" t="s">
        <v>382</v>
      </c>
      <c r="I264" s="3"/>
      <c r="J264" s="60">
        <f t="shared" si="28"/>
        <v>0</v>
      </c>
      <c r="K264" s="60">
        <f t="shared" si="22"/>
        <v>0</v>
      </c>
      <c r="L264" s="61">
        <f>K264*係数!$H$30</f>
        <v>0</v>
      </c>
      <c r="M264" s="61">
        <f>K264*係数!$C$30*0.0000258</f>
        <v>0</v>
      </c>
      <c r="N264" s="12"/>
      <c r="O264" s="3"/>
      <c r="P264" s="3"/>
      <c r="Q264" s="84" t="s">
        <v>382</v>
      </c>
      <c r="R264" s="3"/>
      <c r="S264" s="488">
        <f t="shared" si="23"/>
        <v>0</v>
      </c>
      <c r="T264" s="8">
        <f t="shared" si="24"/>
        <v>0</v>
      </c>
      <c r="U264" s="61">
        <f>T264*係数!$H$30</f>
        <v>0</v>
      </c>
      <c r="V264" s="61">
        <f>T264*係数!$C$30*0.0000258</f>
        <v>0</v>
      </c>
      <c r="W264" s="8">
        <f t="shared" si="25"/>
        <v>0</v>
      </c>
      <c r="X264" s="272">
        <f t="shared" si="26"/>
        <v>0</v>
      </c>
      <c r="Y264" s="489">
        <f t="shared" si="27"/>
        <v>0</v>
      </c>
    </row>
    <row r="265" spans="2:25">
      <c r="B265" s="100" t="s">
        <v>591</v>
      </c>
      <c r="C265" s="12"/>
      <c r="D265" s="3"/>
      <c r="E265" s="77"/>
      <c r="F265" s="62"/>
      <c r="G265" s="62"/>
      <c r="H265" s="84" t="s">
        <v>382</v>
      </c>
      <c r="I265" s="3"/>
      <c r="J265" s="60">
        <f t="shared" si="28"/>
        <v>0</v>
      </c>
      <c r="K265" s="60">
        <f t="shared" si="22"/>
        <v>0</v>
      </c>
      <c r="L265" s="61">
        <f>K265*係数!$H$30</f>
        <v>0</v>
      </c>
      <c r="M265" s="61">
        <f>K265*係数!$C$30*0.0000258</f>
        <v>0</v>
      </c>
      <c r="N265" s="12"/>
      <c r="O265" s="3"/>
      <c r="P265" s="3"/>
      <c r="Q265" s="84" t="s">
        <v>382</v>
      </c>
      <c r="R265" s="3"/>
      <c r="S265" s="488">
        <f t="shared" si="23"/>
        <v>0</v>
      </c>
      <c r="T265" s="8">
        <f t="shared" si="24"/>
        <v>0</v>
      </c>
      <c r="U265" s="61">
        <f>T265*係数!$H$30</f>
        <v>0</v>
      </c>
      <c r="V265" s="61">
        <f>T265*係数!$C$30*0.0000258</f>
        <v>0</v>
      </c>
      <c r="W265" s="8">
        <f t="shared" si="25"/>
        <v>0</v>
      </c>
      <c r="X265" s="272">
        <f t="shared" si="26"/>
        <v>0</v>
      </c>
      <c r="Y265" s="489">
        <f t="shared" si="27"/>
        <v>0</v>
      </c>
    </row>
    <row r="266" spans="2:25">
      <c r="B266" s="100" t="s">
        <v>592</v>
      </c>
      <c r="C266" s="12"/>
      <c r="D266" s="3"/>
      <c r="E266" s="77"/>
      <c r="F266" s="62"/>
      <c r="G266" s="62"/>
      <c r="H266" s="84" t="s">
        <v>382</v>
      </c>
      <c r="I266" s="3"/>
      <c r="J266" s="60">
        <f t="shared" si="28"/>
        <v>0</v>
      </c>
      <c r="K266" s="60">
        <f t="shared" si="22"/>
        <v>0</v>
      </c>
      <c r="L266" s="61">
        <f>K266*係数!$H$30</f>
        <v>0</v>
      </c>
      <c r="M266" s="61">
        <f>K266*係数!$C$30*0.0000258</f>
        <v>0</v>
      </c>
      <c r="N266" s="12"/>
      <c r="O266" s="3"/>
      <c r="P266" s="3"/>
      <c r="Q266" s="84" t="s">
        <v>382</v>
      </c>
      <c r="R266" s="3"/>
      <c r="S266" s="488">
        <f t="shared" si="23"/>
        <v>0</v>
      </c>
      <c r="T266" s="8">
        <f t="shared" si="24"/>
        <v>0</v>
      </c>
      <c r="U266" s="61">
        <f>T266*係数!$H$30</f>
        <v>0</v>
      </c>
      <c r="V266" s="61">
        <f>T266*係数!$C$30*0.0000258</f>
        <v>0</v>
      </c>
      <c r="W266" s="8">
        <f t="shared" si="25"/>
        <v>0</v>
      </c>
      <c r="X266" s="272">
        <f t="shared" si="26"/>
        <v>0</v>
      </c>
      <c r="Y266" s="489">
        <f t="shared" si="27"/>
        <v>0</v>
      </c>
    </row>
    <row r="267" spans="2:25">
      <c r="B267" s="100" t="s">
        <v>593</v>
      </c>
      <c r="C267" s="12"/>
      <c r="D267" s="3"/>
      <c r="E267" s="77"/>
      <c r="F267" s="62"/>
      <c r="G267" s="62"/>
      <c r="H267" s="84" t="s">
        <v>382</v>
      </c>
      <c r="I267" s="3"/>
      <c r="J267" s="60">
        <f t="shared" si="28"/>
        <v>0</v>
      </c>
      <c r="K267" s="60">
        <f t="shared" si="22"/>
        <v>0</v>
      </c>
      <c r="L267" s="61">
        <f>K267*係数!$H$30</f>
        <v>0</v>
      </c>
      <c r="M267" s="61">
        <f>K267*係数!$C$30*0.0000258</f>
        <v>0</v>
      </c>
      <c r="N267" s="12"/>
      <c r="O267" s="3"/>
      <c r="P267" s="3"/>
      <c r="Q267" s="84" t="s">
        <v>382</v>
      </c>
      <c r="R267" s="3"/>
      <c r="S267" s="488">
        <f t="shared" si="23"/>
        <v>0</v>
      </c>
      <c r="T267" s="8">
        <f t="shared" si="24"/>
        <v>0</v>
      </c>
      <c r="U267" s="61">
        <f>T267*係数!$H$30</f>
        <v>0</v>
      </c>
      <c r="V267" s="61">
        <f>T267*係数!$C$30*0.0000258</f>
        <v>0</v>
      </c>
      <c r="W267" s="8">
        <f t="shared" si="25"/>
        <v>0</v>
      </c>
      <c r="X267" s="272">
        <f t="shared" si="26"/>
        <v>0</v>
      </c>
      <c r="Y267" s="489">
        <f t="shared" si="27"/>
        <v>0</v>
      </c>
    </row>
    <row r="268" spans="2:25">
      <c r="B268" s="100" t="s">
        <v>594</v>
      </c>
      <c r="C268" s="12"/>
      <c r="D268" s="3"/>
      <c r="E268" s="77"/>
      <c r="F268" s="62"/>
      <c r="G268" s="62"/>
      <c r="H268" s="84" t="s">
        <v>382</v>
      </c>
      <c r="I268" s="3"/>
      <c r="J268" s="60">
        <f t="shared" si="28"/>
        <v>0</v>
      </c>
      <c r="K268" s="60">
        <f t="shared" si="22"/>
        <v>0</v>
      </c>
      <c r="L268" s="61">
        <f>K268*係数!$H$30</f>
        <v>0</v>
      </c>
      <c r="M268" s="61">
        <f>K268*係数!$C$30*0.0000258</f>
        <v>0</v>
      </c>
      <c r="N268" s="12"/>
      <c r="O268" s="3"/>
      <c r="P268" s="3"/>
      <c r="Q268" s="84" t="s">
        <v>382</v>
      </c>
      <c r="R268" s="3"/>
      <c r="S268" s="488">
        <f t="shared" si="23"/>
        <v>0</v>
      </c>
      <c r="T268" s="8">
        <f t="shared" si="24"/>
        <v>0</v>
      </c>
      <c r="U268" s="61">
        <f>T268*係数!$H$30</f>
        <v>0</v>
      </c>
      <c r="V268" s="61">
        <f>T268*係数!$C$30*0.0000258</f>
        <v>0</v>
      </c>
      <c r="W268" s="8">
        <f t="shared" si="25"/>
        <v>0</v>
      </c>
      <c r="X268" s="272">
        <f t="shared" si="26"/>
        <v>0</v>
      </c>
      <c r="Y268" s="489">
        <f t="shared" si="27"/>
        <v>0</v>
      </c>
    </row>
    <row r="269" spans="2:25">
      <c r="B269" s="100" t="s">
        <v>595</v>
      </c>
      <c r="C269" s="12"/>
      <c r="D269" s="3"/>
      <c r="E269" s="77"/>
      <c r="F269" s="62"/>
      <c r="G269" s="62"/>
      <c r="H269" s="84" t="s">
        <v>382</v>
      </c>
      <c r="I269" s="3"/>
      <c r="J269" s="60">
        <f t="shared" si="28"/>
        <v>0</v>
      </c>
      <c r="K269" s="60">
        <f t="shared" si="22"/>
        <v>0</v>
      </c>
      <c r="L269" s="61">
        <f>K269*係数!$H$30</f>
        <v>0</v>
      </c>
      <c r="M269" s="61">
        <f>K269*係数!$C$30*0.0000258</f>
        <v>0</v>
      </c>
      <c r="N269" s="12"/>
      <c r="O269" s="3"/>
      <c r="P269" s="3"/>
      <c r="Q269" s="84" t="s">
        <v>382</v>
      </c>
      <c r="R269" s="3"/>
      <c r="S269" s="488">
        <f t="shared" si="23"/>
        <v>0</v>
      </c>
      <c r="T269" s="8">
        <f t="shared" si="24"/>
        <v>0</v>
      </c>
      <c r="U269" s="61">
        <f>T269*係数!$H$30</f>
        <v>0</v>
      </c>
      <c r="V269" s="61">
        <f>T269*係数!$C$30*0.0000258</f>
        <v>0</v>
      </c>
      <c r="W269" s="8">
        <f t="shared" si="25"/>
        <v>0</v>
      </c>
      <c r="X269" s="272">
        <f t="shared" si="26"/>
        <v>0</v>
      </c>
      <c r="Y269" s="489">
        <f t="shared" si="27"/>
        <v>0</v>
      </c>
    </row>
    <row r="270" spans="2:25">
      <c r="B270" s="100" t="s">
        <v>596</v>
      </c>
      <c r="C270" s="12"/>
      <c r="D270" s="3"/>
      <c r="E270" s="77"/>
      <c r="F270" s="62"/>
      <c r="G270" s="62"/>
      <c r="H270" s="84" t="s">
        <v>382</v>
      </c>
      <c r="I270" s="3"/>
      <c r="J270" s="60">
        <f t="shared" si="28"/>
        <v>0</v>
      </c>
      <c r="K270" s="60">
        <f t="shared" si="22"/>
        <v>0</v>
      </c>
      <c r="L270" s="61">
        <f>K270*係数!$H$30</f>
        <v>0</v>
      </c>
      <c r="M270" s="61">
        <f>K270*係数!$C$30*0.0000258</f>
        <v>0</v>
      </c>
      <c r="N270" s="12"/>
      <c r="O270" s="3"/>
      <c r="P270" s="3"/>
      <c r="Q270" s="84" t="s">
        <v>382</v>
      </c>
      <c r="R270" s="3"/>
      <c r="S270" s="488">
        <f t="shared" si="23"/>
        <v>0</v>
      </c>
      <c r="T270" s="8">
        <f t="shared" si="24"/>
        <v>0</v>
      </c>
      <c r="U270" s="61">
        <f>T270*係数!$H$30</f>
        <v>0</v>
      </c>
      <c r="V270" s="61">
        <f>T270*係数!$C$30*0.0000258</f>
        <v>0</v>
      </c>
      <c r="W270" s="8">
        <f t="shared" si="25"/>
        <v>0</v>
      </c>
      <c r="X270" s="272">
        <f t="shared" si="26"/>
        <v>0</v>
      </c>
      <c r="Y270" s="489">
        <f t="shared" si="27"/>
        <v>0</v>
      </c>
    </row>
    <row r="271" spans="2:25">
      <c r="B271" s="100" t="s">
        <v>597</v>
      </c>
      <c r="C271" s="12"/>
      <c r="D271" s="3"/>
      <c r="E271" s="77"/>
      <c r="F271" s="62"/>
      <c r="G271" s="62"/>
      <c r="H271" s="84" t="s">
        <v>382</v>
      </c>
      <c r="I271" s="3"/>
      <c r="J271" s="60">
        <f t="shared" si="28"/>
        <v>0</v>
      </c>
      <c r="K271" s="60">
        <f t="shared" si="22"/>
        <v>0</v>
      </c>
      <c r="L271" s="61">
        <f>K271*係数!$H$30</f>
        <v>0</v>
      </c>
      <c r="M271" s="61">
        <f>K271*係数!$C$30*0.0000258</f>
        <v>0</v>
      </c>
      <c r="N271" s="12"/>
      <c r="O271" s="3"/>
      <c r="P271" s="3"/>
      <c r="Q271" s="84" t="s">
        <v>382</v>
      </c>
      <c r="R271" s="3"/>
      <c r="S271" s="488">
        <f t="shared" si="23"/>
        <v>0</v>
      </c>
      <c r="T271" s="8">
        <f t="shared" si="24"/>
        <v>0</v>
      </c>
      <c r="U271" s="61">
        <f>T271*係数!$H$30</f>
        <v>0</v>
      </c>
      <c r="V271" s="61">
        <f>T271*係数!$C$30*0.0000258</f>
        <v>0</v>
      </c>
      <c r="W271" s="8">
        <f t="shared" si="25"/>
        <v>0</v>
      </c>
      <c r="X271" s="272">
        <f t="shared" si="26"/>
        <v>0</v>
      </c>
      <c r="Y271" s="489">
        <f t="shared" si="27"/>
        <v>0</v>
      </c>
    </row>
    <row r="272" spans="2:25">
      <c r="B272" s="100" t="s">
        <v>598</v>
      </c>
      <c r="C272" s="12"/>
      <c r="D272" s="3"/>
      <c r="E272" s="77"/>
      <c r="F272" s="62"/>
      <c r="G272" s="62"/>
      <c r="H272" s="84" t="s">
        <v>382</v>
      </c>
      <c r="I272" s="3"/>
      <c r="J272" s="60">
        <f t="shared" si="28"/>
        <v>0</v>
      </c>
      <c r="K272" s="60">
        <f t="shared" si="22"/>
        <v>0</v>
      </c>
      <c r="L272" s="61">
        <f>K272*係数!$H$30</f>
        <v>0</v>
      </c>
      <c r="M272" s="61">
        <f>K272*係数!$C$30*0.0000258</f>
        <v>0</v>
      </c>
      <c r="N272" s="12"/>
      <c r="O272" s="3"/>
      <c r="P272" s="3"/>
      <c r="Q272" s="84" t="s">
        <v>382</v>
      </c>
      <c r="R272" s="3"/>
      <c r="S272" s="488">
        <f t="shared" si="23"/>
        <v>0</v>
      </c>
      <c r="T272" s="8">
        <f t="shared" si="24"/>
        <v>0</v>
      </c>
      <c r="U272" s="61">
        <f>T272*係数!$H$30</f>
        <v>0</v>
      </c>
      <c r="V272" s="61">
        <f>T272*係数!$C$30*0.0000258</f>
        <v>0</v>
      </c>
      <c r="W272" s="8">
        <f t="shared" si="25"/>
        <v>0</v>
      </c>
      <c r="X272" s="272">
        <f t="shared" si="26"/>
        <v>0</v>
      </c>
      <c r="Y272" s="489">
        <f t="shared" si="27"/>
        <v>0</v>
      </c>
    </row>
    <row r="273" spans="2:25">
      <c r="B273" s="100" t="s">
        <v>599</v>
      </c>
      <c r="C273" s="12"/>
      <c r="D273" s="3"/>
      <c r="E273" s="77"/>
      <c r="F273" s="62"/>
      <c r="G273" s="62"/>
      <c r="H273" s="84" t="s">
        <v>382</v>
      </c>
      <c r="I273" s="3"/>
      <c r="J273" s="60">
        <f t="shared" si="28"/>
        <v>0</v>
      </c>
      <c r="K273" s="60">
        <f t="shared" si="22"/>
        <v>0</v>
      </c>
      <c r="L273" s="61">
        <f>K273*係数!$H$30</f>
        <v>0</v>
      </c>
      <c r="M273" s="61">
        <f>K273*係数!$C$30*0.0000258</f>
        <v>0</v>
      </c>
      <c r="N273" s="12"/>
      <c r="O273" s="3"/>
      <c r="P273" s="3"/>
      <c r="Q273" s="84" t="s">
        <v>382</v>
      </c>
      <c r="R273" s="3"/>
      <c r="S273" s="488">
        <f t="shared" si="23"/>
        <v>0</v>
      </c>
      <c r="T273" s="8">
        <f t="shared" si="24"/>
        <v>0</v>
      </c>
      <c r="U273" s="61">
        <f>T273*係数!$H$30</f>
        <v>0</v>
      </c>
      <c r="V273" s="61">
        <f>T273*係数!$C$30*0.0000258</f>
        <v>0</v>
      </c>
      <c r="W273" s="8">
        <f t="shared" si="25"/>
        <v>0</v>
      </c>
      <c r="X273" s="272">
        <f t="shared" si="26"/>
        <v>0</v>
      </c>
      <c r="Y273" s="489">
        <f t="shared" si="27"/>
        <v>0</v>
      </c>
    </row>
    <row r="274" spans="2:25">
      <c r="B274" s="100" t="s">
        <v>600</v>
      </c>
      <c r="C274" s="12"/>
      <c r="D274" s="3"/>
      <c r="E274" s="77"/>
      <c r="F274" s="62"/>
      <c r="G274" s="62"/>
      <c r="H274" s="84" t="s">
        <v>382</v>
      </c>
      <c r="I274" s="3"/>
      <c r="J274" s="60">
        <f t="shared" si="28"/>
        <v>0</v>
      </c>
      <c r="K274" s="60">
        <f t="shared" si="22"/>
        <v>0</v>
      </c>
      <c r="L274" s="61">
        <f>K274*係数!$H$30</f>
        <v>0</v>
      </c>
      <c r="M274" s="61">
        <f>K274*係数!$C$30*0.0000258</f>
        <v>0</v>
      </c>
      <c r="N274" s="12"/>
      <c r="O274" s="3"/>
      <c r="P274" s="3"/>
      <c r="Q274" s="84" t="s">
        <v>382</v>
      </c>
      <c r="R274" s="3"/>
      <c r="S274" s="488">
        <f t="shared" si="23"/>
        <v>0</v>
      </c>
      <c r="T274" s="8">
        <f t="shared" si="24"/>
        <v>0</v>
      </c>
      <c r="U274" s="61">
        <f>T274*係数!$H$30</f>
        <v>0</v>
      </c>
      <c r="V274" s="61">
        <f>T274*係数!$C$30*0.0000258</f>
        <v>0</v>
      </c>
      <c r="W274" s="8">
        <f t="shared" si="25"/>
        <v>0</v>
      </c>
      <c r="X274" s="272">
        <f t="shared" si="26"/>
        <v>0</v>
      </c>
      <c r="Y274" s="489">
        <f t="shared" si="27"/>
        <v>0</v>
      </c>
    </row>
    <row r="275" spans="2:25">
      <c r="B275" s="100" t="s">
        <v>601</v>
      </c>
      <c r="C275" s="12"/>
      <c r="D275" s="3"/>
      <c r="E275" s="77"/>
      <c r="F275" s="62"/>
      <c r="G275" s="62"/>
      <c r="H275" s="84" t="s">
        <v>382</v>
      </c>
      <c r="I275" s="3"/>
      <c r="J275" s="60">
        <f t="shared" si="28"/>
        <v>0</v>
      </c>
      <c r="K275" s="60">
        <f t="shared" si="22"/>
        <v>0</v>
      </c>
      <c r="L275" s="61">
        <f>K275*係数!$H$30</f>
        <v>0</v>
      </c>
      <c r="M275" s="61">
        <f>K275*係数!$C$30*0.0000258</f>
        <v>0</v>
      </c>
      <c r="N275" s="12"/>
      <c r="O275" s="3"/>
      <c r="P275" s="3"/>
      <c r="Q275" s="84" t="s">
        <v>382</v>
      </c>
      <c r="R275" s="3"/>
      <c r="S275" s="488">
        <f t="shared" si="23"/>
        <v>0</v>
      </c>
      <c r="T275" s="8">
        <f t="shared" si="24"/>
        <v>0</v>
      </c>
      <c r="U275" s="61">
        <f>T275*係数!$H$30</f>
        <v>0</v>
      </c>
      <c r="V275" s="61">
        <f>T275*係数!$C$30*0.0000258</f>
        <v>0</v>
      </c>
      <c r="W275" s="8">
        <f t="shared" si="25"/>
        <v>0</v>
      </c>
      <c r="X275" s="272">
        <f t="shared" si="26"/>
        <v>0</v>
      </c>
      <c r="Y275" s="489">
        <f t="shared" si="27"/>
        <v>0</v>
      </c>
    </row>
    <row r="276" spans="2:25">
      <c r="B276" s="100" t="s">
        <v>602</v>
      </c>
      <c r="C276" s="12"/>
      <c r="D276" s="3"/>
      <c r="E276" s="77"/>
      <c r="F276" s="62"/>
      <c r="G276" s="62"/>
      <c r="H276" s="84" t="s">
        <v>382</v>
      </c>
      <c r="I276" s="3"/>
      <c r="J276" s="60">
        <f t="shared" si="28"/>
        <v>0</v>
      </c>
      <c r="K276" s="60">
        <f t="shared" ref="K276:K339" si="29">E276*D276*J276/1000</f>
        <v>0</v>
      </c>
      <c r="L276" s="61">
        <f>K276*係数!$H$30</f>
        <v>0</v>
      </c>
      <c r="M276" s="61">
        <f>K276*係数!$C$30*0.0000258</f>
        <v>0</v>
      </c>
      <c r="N276" s="12"/>
      <c r="O276" s="3"/>
      <c r="P276" s="3"/>
      <c r="Q276" s="84" t="s">
        <v>382</v>
      </c>
      <c r="R276" s="3"/>
      <c r="S276" s="488">
        <f t="shared" ref="S276:S339" si="30">IF(Q276="○",F276*G276*R276/100,F276*G276)</f>
        <v>0</v>
      </c>
      <c r="T276" s="8">
        <f t="shared" ref="T276:T339" si="31">P276*O276*S276/1000</f>
        <v>0</v>
      </c>
      <c r="U276" s="61">
        <f>T276*係数!$H$30</f>
        <v>0</v>
      </c>
      <c r="V276" s="61">
        <f>T276*係数!$C$30*0.0000258</f>
        <v>0</v>
      </c>
      <c r="W276" s="8">
        <f t="shared" ref="W276:W339" si="32">K276-T276</f>
        <v>0</v>
      </c>
      <c r="X276" s="272">
        <f t="shared" ref="X276:X339" si="33">L276-U276</f>
        <v>0</v>
      </c>
      <c r="Y276" s="489">
        <f t="shared" ref="Y276:Y339" si="34">M276-V276</f>
        <v>0</v>
      </c>
    </row>
    <row r="277" spans="2:25">
      <c r="B277" s="100" t="s">
        <v>603</v>
      </c>
      <c r="C277" s="12"/>
      <c r="D277" s="3"/>
      <c r="E277" s="77"/>
      <c r="F277" s="62"/>
      <c r="G277" s="62"/>
      <c r="H277" s="84" t="s">
        <v>382</v>
      </c>
      <c r="I277" s="3"/>
      <c r="J277" s="60">
        <f t="shared" ref="J277:J340" si="35">IF(H277="○",F277*G277*I277/100,F277*G277)</f>
        <v>0</v>
      </c>
      <c r="K277" s="60">
        <f t="shared" si="29"/>
        <v>0</v>
      </c>
      <c r="L277" s="61">
        <f>K277*係数!$H$30</f>
        <v>0</v>
      </c>
      <c r="M277" s="61">
        <f>K277*係数!$C$30*0.0000258</f>
        <v>0</v>
      </c>
      <c r="N277" s="12"/>
      <c r="O277" s="3"/>
      <c r="P277" s="3"/>
      <c r="Q277" s="84" t="s">
        <v>382</v>
      </c>
      <c r="R277" s="3"/>
      <c r="S277" s="488">
        <f t="shared" si="30"/>
        <v>0</v>
      </c>
      <c r="T277" s="8">
        <f t="shared" si="31"/>
        <v>0</v>
      </c>
      <c r="U277" s="61">
        <f>T277*係数!$H$30</f>
        <v>0</v>
      </c>
      <c r="V277" s="61">
        <f>T277*係数!$C$30*0.0000258</f>
        <v>0</v>
      </c>
      <c r="W277" s="8">
        <f t="shared" si="32"/>
        <v>0</v>
      </c>
      <c r="X277" s="272">
        <f t="shared" si="33"/>
        <v>0</v>
      </c>
      <c r="Y277" s="489">
        <f t="shared" si="34"/>
        <v>0</v>
      </c>
    </row>
    <row r="278" spans="2:25">
      <c r="B278" s="100" t="s">
        <v>604</v>
      </c>
      <c r="C278" s="12"/>
      <c r="D278" s="3"/>
      <c r="E278" s="77"/>
      <c r="F278" s="62"/>
      <c r="G278" s="62"/>
      <c r="H278" s="84" t="s">
        <v>382</v>
      </c>
      <c r="I278" s="3"/>
      <c r="J278" s="60">
        <f t="shared" si="35"/>
        <v>0</v>
      </c>
      <c r="K278" s="60">
        <f t="shared" si="29"/>
        <v>0</v>
      </c>
      <c r="L278" s="61">
        <f>K278*係数!$H$30</f>
        <v>0</v>
      </c>
      <c r="M278" s="61">
        <f>K278*係数!$C$30*0.0000258</f>
        <v>0</v>
      </c>
      <c r="N278" s="12"/>
      <c r="O278" s="3"/>
      <c r="P278" s="3"/>
      <c r="Q278" s="84" t="s">
        <v>382</v>
      </c>
      <c r="R278" s="3"/>
      <c r="S278" s="488">
        <f t="shared" si="30"/>
        <v>0</v>
      </c>
      <c r="T278" s="8">
        <f t="shared" si="31"/>
        <v>0</v>
      </c>
      <c r="U278" s="61">
        <f>T278*係数!$H$30</f>
        <v>0</v>
      </c>
      <c r="V278" s="61">
        <f>T278*係数!$C$30*0.0000258</f>
        <v>0</v>
      </c>
      <c r="W278" s="8">
        <f t="shared" si="32"/>
        <v>0</v>
      </c>
      <c r="X278" s="272">
        <f t="shared" si="33"/>
        <v>0</v>
      </c>
      <c r="Y278" s="489">
        <f t="shared" si="34"/>
        <v>0</v>
      </c>
    </row>
    <row r="279" spans="2:25">
      <c r="B279" s="100" t="s">
        <v>605</v>
      </c>
      <c r="C279" s="12"/>
      <c r="D279" s="3"/>
      <c r="E279" s="77"/>
      <c r="F279" s="62"/>
      <c r="G279" s="62"/>
      <c r="H279" s="84" t="s">
        <v>382</v>
      </c>
      <c r="I279" s="3"/>
      <c r="J279" s="60">
        <f t="shared" si="35"/>
        <v>0</v>
      </c>
      <c r="K279" s="60">
        <f t="shared" si="29"/>
        <v>0</v>
      </c>
      <c r="L279" s="61">
        <f>K279*係数!$H$30</f>
        <v>0</v>
      </c>
      <c r="M279" s="61">
        <f>K279*係数!$C$30*0.0000258</f>
        <v>0</v>
      </c>
      <c r="N279" s="12"/>
      <c r="O279" s="3"/>
      <c r="P279" s="3"/>
      <c r="Q279" s="84" t="s">
        <v>382</v>
      </c>
      <c r="R279" s="3"/>
      <c r="S279" s="488">
        <f t="shared" si="30"/>
        <v>0</v>
      </c>
      <c r="T279" s="8">
        <f t="shared" si="31"/>
        <v>0</v>
      </c>
      <c r="U279" s="61">
        <f>T279*係数!$H$30</f>
        <v>0</v>
      </c>
      <c r="V279" s="61">
        <f>T279*係数!$C$30*0.0000258</f>
        <v>0</v>
      </c>
      <c r="W279" s="8">
        <f t="shared" si="32"/>
        <v>0</v>
      </c>
      <c r="X279" s="272">
        <f t="shared" si="33"/>
        <v>0</v>
      </c>
      <c r="Y279" s="489">
        <f t="shared" si="34"/>
        <v>0</v>
      </c>
    </row>
    <row r="280" spans="2:25">
      <c r="B280" s="100" t="s">
        <v>606</v>
      </c>
      <c r="C280" s="12"/>
      <c r="D280" s="3"/>
      <c r="E280" s="77"/>
      <c r="F280" s="62"/>
      <c r="G280" s="62"/>
      <c r="H280" s="84" t="s">
        <v>382</v>
      </c>
      <c r="I280" s="3"/>
      <c r="J280" s="60">
        <f t="shared" si="35"/>
        <v>0</v>
      </c>
      <c r="K280" s="60">
        <f t="shared" si="29"/>
        <v>0</v>
      </c>
      <c r="L280" s="61">
        <f>K280*係数!$H$30</f>
        <v>0</v>
      </c>
      <c r="M280" s="61">
        <f>K280*係数!$C$30*0.0000258</f>
        <v>0</v>
      </c>
      <c r="N280" s="12"/>
      <c r="O280" s="3"/>
      <c r="P280" s="3"/>
      <c r="Q280" s="84" t="s">
        <v>382</v>
      </c>
      <c r="R280" s="3"/>
      <c r="S280" s="488">
        <f t="shared" si="30"/>
        <v>0</v>
      </c>
      <c r="T280" s="8">
        <f t="shared" si="31"/>
        <v>0</v>
      </c>
      <c r="U280" s="61">
        <f>T280*係数!$H$30</f>
        <v>0</v>
      </c>
      <c r="V280" s="61">
        <f>T280*係数!$C$30*0.0000258</f>
        <v>0</v>
      </c>
      <c r="W280" s="8">
        <f t="shared" si="32"/>
        <v>0</v>
      </c>
      <c r="X280" s="272">
        <f t="shared" si="33"/>
        <v>0</v>
      </c>
      <c r="Y280" s="489">
        <f t="shared" si="34"/>
        <v>0</v>
      </c>
    </row>
    <row r="281" spans="2:25">
      <c r="B281" s="100" t="s">
        <v>607</v>
      </c>
      <c r="C281" s="12"/>
      <c r="D281" s="3"/>
      <c r="E281" s="77"/>
      <c r="F281" s="62"/>
      <c r="G281" s="62"/>
      <c r="H281" s="84" t="s">
        <v>382</v>
      </c>
      <c r="I281" s="3"/>
      <c r="J281" s="60">
        <f t="shared" si="35"/>
        <v>0</v>
      </c>
      <c r="K281" s="60">
        <f t="shared" si="29"/>
        <v>0</v>
      </c>
      <c r="L281" s="61">
        <f>K281*係数!$H$30</f>
        <v>0</v>
      </c>
      <c r="M281" s="61">
        <f>K281*係数!$C$30*0.0000258</f>
        <v>0</v>
      </c>
      <c r="N281" s="12"/>
      <c r="O281" s="3"/>
      <c r="P281" s="3"/>
      <c r="Q281" s="84" t="s">
        <v>382</v>
      </c>
      <c r="R281" s="3"/>
      <c r="S281" s="488">
        <f t="shared" si="30"/>
        <v>0</v>
      </c>
      <c r="T281" s="8">
        <f t="shared" si="31"/>
        <v>0</v>
      </c>
      <c r="U281" s="61">
        <f>T281*係数!$H$30</f>
        <v>0</v>
      </c>
      <c r="V281" s="61">
        <f>T281*係数!$C$30*0.0000258</f>
        <v>0</v>
      </c>
      <c r="W281" s="8">
        <f t="shared" si="32"/>
        <v>0</v>
      </c>
      <c r="X281" s="272">
        <f t="shared" si="33"/>
        <v>0</v>
      </c>
      <c r="Y281" s="489">
        <f t="shared" si="34"/>
        <v>0</v>
      </c>
    </row>
    <row r="282" spans="2:25">
      <c r="B282" s="100" t="s">
        <v>608</v>
      </c>
      <c r="C282" s="12"/>
      <c r="D282" s="3"/>
      <c r="E282" s="77"/>
      <c r="F282" s="62"/>
      <c r="G282" s="62"/>
      <c r="H282" s="84" t="s">
        <v>382</v>
      </c>
      <c r="I282" s="3"/>
      <c r="J282" s="60">
        <f t="shared" si="35"/>
        <v>0</v>
      </c>
      <c r="K282" s="60">
        <f t="shared" si="29"/>
        <v>0</v>
      </c>
      <c r="L282" s="61">
        <f>K282*係数!$H$30</f>
        <v>0</v>
      </c>
      <c r="M282" s="61">
        <f>K282*係数!$C$30*0.0000258</f>
        <v>0</v>
      </c>
      <c r="N282" s="12"/>
      <c r="O282" s="3"/>
      <c r="P282" s="3"/>
      <c r="Q282" s="84" t="s">
        <v>382</v>
      </c>
      <c r="R282" s="3"/>
      <c r="S282" s="488">
        <f t="shared" si="30"/>
        <v>0</v>
      </c>
      <c r="T282" s="8">
        <f t="shared" si="31"/>
        <v>0</v>
      </c>
      <c r="U282" s="61">
        <f>T282*係数!$H$30</f>
        <v>0</v>
      </c>
      <c r="V282" s="61">
        <f>T282*係数!$C$30*0.0000258</f>
        <v>0</v>
      </c>
      <c r="W282" s="8">
        <f t="shared" si="32"/>
        <v>0</v>
      </c>
      <c r="X282" s="272">
        <f t="shared" si="33"/>
        <v>0</v>
      </c>
      <c r="Y282" s="489">
        <f t="shared" si="34"/>
        <v>0</v>
      </c>
    </row>
    <row r="283" spans="2:25">
      <c r="B283" s="100" t="s">
        <v>609</v>
      </c>
      <c r="C283" s="12"/>
      <c r="D283" s="3"/>
      <c r="E283" s="77"/>
      <c r="F283" s="62"/>
      <c r="G283" s="62"/>
      <c r="H283" s="84" t="s">
        <v>382</v>
      </c>
      <c r="I283" s="3"/>
      <c r="J283" s="60">
        <f t="shared" si="35"/>
        <v>0</v>
      </c>
      <c r="K283" s="60">
        <f t="shared" si="29"/>
        <v>0</v>
      </c>
      <c r="L283" s="61">
        <f>K283*係数!$H$30</f>
        <v>0</v>
      </c>
      <c r="M283" s="61">
        <f>K283*係数!$C$30*0.0000258</f>
        <v>0</v>
      </c>
      <c r="N283" s="12"/>
      <c r="O283" s="3"/>
      <c r="P283" s="3"/>
      <c r="Q283" s="84" t="s">
        <v>382</v>
      </c>
      <c r="R283" s="3"/>
      <c r="S283" s="488">
        <f t="shared" si="30"/>
        <v>0</v>
      </c>
      <c r="T283" s="8">
        <f t="shared" si="31"/>
        <v>0</v>
      </c>
      <c r="U283" s="61">
        <f>T283*係数!$H$30</f>
        <v>0</v>
      </c>
      <c r="V283" s="61">
        <f>T283*係数!$C$30*0.0000258</f>
        <v>0</v>
      </c>
      <c r="W283" s="8">
        <f t="shared" si="32"/>
        <v>0</v>
      </c>
      <c r="X283" s="272">
        <f t="shared" si="33"/>
        <v>0</v>
      </c>
      <c r="Y283" s="489">
        <f t="shared" si="34"/>
        <v>0</v>
      </c>
    </row>
    <row r="284" spans="2:25">
      <c r="B284" s="100" t="s">
        <v>610</v>
      </c>
      <c r="C284" s="12"/>
      <c r="D284" s="3"/>
      <c r="E284" s="77"/>
      <c r="F284" s="62"/>
      <c r="G284" s="62"/>
      <c r="H284" s="84" t="s">
        <v>382</v>
      </c>
      <c r="I284" s="3"/>
      <c r="J284" s="60">
        <f t="shared" si="35"/>
        <v>0</v>
      </c>
      <c r="K284" s="60">
        <f t="shared" si="29"/>
        <v>0</v>
      </c>
      <c r="L284" s="61">
        <f>K284*係数!$H$30</f>
        <v>0</v>
      </c>
      <c r="M284" s="61">
        <f>K284*係数!$C$30*0.0000258</f>
        <v>0</v>
      </c>
      <c r="N284" s="12"/>
      <c r="O284" s="3"/>
      <c r="P284" s="3"/>
      <c r="Q284" s="84" t="s">
        <v>382</v>
      </c>
      <c r="R284" s="3"/>
      <c r="S284" s="488">
        <f t="shared" si="30"/>
        <v>0</v>
      </c>
      <c r="T284" s="8">
        <f t="shared" si="31"/>
        <v>0</v>
      </c>
      <c r="U284" s="61">
        <f>T284*係数!$H$30</f>
        <v>0</v>
      </c>
      <c r="V284" s="61">
        <f>T284*係数!$C$30*0.0000258</f>
        <v>0</v>
      </c>
      <c r="W284" s="8">
        <f t="shared" si="32"/>
        <v>0</v>
      </c>
      <c r="X284" s="272">
        <f t="shared" si="33"/>
        <v>0</v>
      </c>
      <c r="Y284" s="489">
        <f t="shared" si="34"/>
        <v>0</v>
      </c>
    </row>
    <row r="285" spans="2:25">
      <c r="B285" s="100" t="s">
        <v>611</v>
      </c>
      <c r="C285" s="12"/>
      <c r="D285" s="3"/>
      <c r="E285" s="77"/>
      <c r="F285" s="62"/>
      <c r="G285" s="62"/>
      <c r="H285" s="84" t="s">
        <v>382</v>
      </c>
      <c r="I285" s="3"/>
      <c r="J285" s="60">
        <f t="shared" si="35"/>
        <v>0</v>
      </c>
      <c r="K285" s="60">
        <f t="shared" si="29"/>
        <v>0</v>
      </c>
      <c r="L285" s="61">
        <f>K285*係数!$H$30</f>
        <v>0</v>
      </c>
      <c r="M285" s="61">
        <f>K285*係数!$C$30*0.0000258</f>
        <v>0</v>
      </c>
      <c r="N285" s="12"/>
      <c r="O285" s="3"/>
      <c r="P285" s="3"/>
      <c r="Q285" s="84" t="s">
        <v>382</v>
      </c>
      <c r="R285" s="3"/>
      <c r="S285" s="488">
        <f t="shared" si="30"/>
        <v>0</v>
      </c>
      <c r="T285" s="8">
        <f t="shared" si="31"/>
        <v>0</v>
      </c>
      <c r="U285" s="61">
        <f>T285*係数!$H$30</f>
        <v>0</v>
      </c>
      <c r="V285" s="61">
        <f>T285*係数!$C$30*0.0000258</f>
        <v>0</v>
      </c>
      <c r="W285" s="8">
        <f t="shared" si="32"/>
        <v>0</v>
      </c>
      <c r="X285" s="272">
        <f t="shared" si="33"/>
        <v>0</v>
      </c>
      <c r="Y285" s="489">
        <f t="shared" si="34"/>
        <v>0</v>
      </c>
    </row>
    <row r="286" spans="2:25">
      <c r="B286" s="100" t="s">
        <v>612</v>
      </c>
      <c r="C286" s="12"/>
      <c r="D286" s="3"/>
      <c r="E286" s="77"/>
      <c r="F286" s="62"/>
      <c r="G286" s="62"/>
      <c r="H286" s="84" t="s">
        <v>382</v>
      </c>
      <c r="I286" s="3"/>
      <c r="J286" s="60">
        <f t="shared" si="35"/>
        <v>0</v>
      </c>
      <c r="K286" s="60">
        <f t="shared" si="29"/>
        <v>0</v>
      </c>
      <c r="L286" s="61">
        <f>K286*係数!$H$30</f>
        <v>0</v>
      </c>
      <c r="M286" s="61">
        <f>K286*係数!$C$30*0.0000258</f>
        <v>0</v>
      </c>
      <c r="N286" s="12"/>
      <c r="O286" s="3"/>
      <c r="P286" s="3"/>
      <c r="Q286" s="84" t="s">
        <v>382</v>
      </c>
      <c r="R286" s="3"/>
      <c r="S286" s="488">
        <f t="shared" si="30"/>
        <v>0</v>
      </c>
      <c r="T286" s="8">
        <f t="shared" si="31"/>
        <v>0</v>
      </c>
      <c r="U286" s="61">
        <f>T286*係数!$H$30</f>
        <v>0</v>
      </c>
      <c r="V286" s="61">
        <f>T286*係数!$C$30*0.0000258</f>
        <v>0</v>
      </c>
      <c r="W286" s="8">
        <f t="shared" si="32"/>
        <v>0</v>
      </c>
      <c r="X286" s="272">
        <f t="shared" si="33"/>
        <v>0</v>
      </c>
      <c r="Y286" s="489">
        <f t="shared" si="34"/>
        <v>0</v>
      </c>
    </row>
    <row r="287" spans="2:25">
      <c r="B287" s="100" t="s">
        <v>613</v>
      </c>
      <c r="C287" s="12"/>
      <c r="D287" s="3"/>
      <c r="E287" s="77"/>
      <c r="F287" s="62"/>
      <c r="G287" s="62"/>
      <c r="H287" s="84" t="s">
        <v>382</v>
      </c>
      <c r="I287" s="3"/>
      <c r="J287" s="60">
        <f t="shared" si="35"/>
        <v>0</v>
      </c>
      <c r="K287" s="60">
        <f t="shared" si="29"/>
        <v>0</v>
      </c>
      <c r="L287" s="61">
        <f>K287*係数!$H$30</f>
        <v>0</v>
      </c>
      <c r="M287" s="61">
        <f>K287*係数!$C$30*0.0000258</f>
        <v>0</v>
      </c>
      <c r="N287" s="12"/>
      <c r="O287" s="3"/>
      <c r="P287" s="3"/>
      <c r="Q287" s="84" t="s">
        <v>382</v>
      </c>
      <c r="R287" s="3"/>
      <c r="S287" s="488">
        <f t="shared" si="30"/>
        <v>0</v>
      </c>
      <c r="T287" s="8">
        <f t="shared" si="31"/>
        <v>0</v>
      </c>
      <c r="U287" s="61">
        <f>T287*係数!$H$30</f>
        <v>0</v>
      </c>
      <c r="V287" s="61">
        <f>T287*係数!$C$30*0.0000258</f>
        <v>0</v>
      </c>
      <c r="W287" s="8">
        <f t="shared" si="32"/>
        <v>0</v>
      </c>
      <c r="X287" s="272">
        <f t="shared" si="33"/>
        <v>0</v>
      </c>
      <c r="Y287" s="489">
        <f t="shared" si="34"/>
        <v>0</v>
      </c>
    </row>
    <row r="288" spans="2:25">
      <c r="B288" s="100" t="s">
        <v>614</v>
      </c>
      <c r="C288" s="12"/>
      <c r="D288" s="3"/>
      <c r="E288" s="77"/>
      <c r="F288" s="62"/>
      <c r="G288" s="62"/>
      <c r="H288" s="84" t="s">
        <v>382</v>
      </c>
      <c r="I288" s="3"/>
      <c r="J288" s="60">
        <f t="shared" si="35"/>
        <v>0</v>
      </c>
      <c r="K288" s="60">
        <f t="shared" si="29"/>
        <v>0</v>
      </c>
      <c r="L288" s="61">
        <f>K288*係数!$H$30</f>
        <v>0</v>
      </c>
      <c r="M288" s="61">
        <f>K288*係数!$C$30*0.0000258</f>
        <v>0</v>
      </c>
      <c r="N288" s="12"/>
      <c r="O288" s="3"/>
      <c r="P288" s="3"/>
      <c r="Q288" s="84" t="s">
        <v>382</v>
      </c>
      <c r="R288" s="3"/>
      <c r="S288" s="488">
        <f t="shared" si="30"/>
        <v>0</v>
      </c>
      <c r="T288" s="8">
        <f t="shared" si="31"/>
        <v>0</v>
      </c>
      <c r="U288" s="61">
        <f>T288*係数!$H$30</f>
        <v>0</v>
      </c>
      <c r="V288" s="61">
        <f>T288*係数!$C$30*0.0000258</f>
        <v>0</v>
      </c>
      <c r="W288" s="8">
        <f t="shared" si="32"/>
        <v>0</v>
      </c>
      <c r="X288" s="272">
        <f t="shared" si="33"/>
        <v>0</v>
      </c>
      <c r="Y288" s="489">
        <f t="shared" si="34"/>
        <v>0</v>
      </c>
    </row>
    <row r="289" spans="2:25">
      <c r="B289" s="100" t="s">
        <v>615</v>
      </c>
      <c r="C289" s="12"/>
      <c r="D289" s="3"/>
      <c r="E289" s="77"/>
      <c r="F289" s="62"/>
      <c r="G289" s="62"/>
      <c r="H289" s="84" t="s">
        <v>382</v>
      </c>
      <c r="I289" s="3"/>
      <c r="J289" s="60">
        <f t="shared" si="35"/>
        <v>0</v>
      </c>
      <c r="K289" s="60">
        <f t="shared" si="29"/>
        <v>0</v>
      </c>
      <c r="L289" s="61">
        <f>K289*係数!$H$30</f>
        <v>0</v>
      </c>
      <c r="M289" s="61">
        <f>K289*係数!$C$30*0.0000258</f>
        <v>0</v>
      </c>
      <c r="N289" s="12"/>
      <c r="O289" s="3"/>
      <c r="P289" s="3"/>
      <c r="Q289" s="84" t="s">
        <v>382</v>
      </c>
      <c r="R289" s="3"/>
      <c r="S289" s="488">
        <f t="shared" si="30"/>
        <v>0</v>
      </c>
      <c r="T289" s="8">
        <f t="shared" si="31"/>
        <v>0</v>
      </c>
      <c r="U289" s="61">
        <f>T289*係数!$H$30</f>
        <v>0</v>
      </c>
      <c r="V289" s="61">
        <f>T289*係数!$C$30*0.0000258</f>
        <v>0</v>
      </c>
      <c r="W289" s="8">
        <f t="shared" si="32"/>
        <v>0</v>
      </c>
      <c r="X289" s="272">
        <f t="shared" si="33"/>
        <v>0</v>
      </c>
      <c r="Y289" s="489">
        <f t="shared" si="34"/>
        <v>0</v>
      </c>
    </row>
    <row r="290" spans="2:25">
      <c r="B290" s="100" t="s">
        <v>616</v>
      </c>
      <c r="C290" s="12"/>
      <c r="D290" s="3"/>
      <c r="E290" s="77"/>
      <c r="F290" s="62"/>
      <c r="G290" s="62"/>
      <c r="H290" s="84" t="s">
        <v>382</v>
      </c>
      <c r="I290" s="3"/>
      <c r="J290" s="60">
        <f t="shared" si="35"/>
        <v>0</v>
      </c>
      <c r="K290" s="60">
        <f t="shared" si="29"/>
        <v>0</v>
      </c>
      <c r="L290" s="61">
        <f>K290*係数!$H$30</f>
        <v>0</v>
      </c>
      <c r="M290" s="61">
        <f>K290*係数!$C$30*0.0000258</f>
        <v>0</v>
      </c>
      <c r="N290" s="12"/>
      <c r="O290" s="3"/>
      <c r="P290" s="3"/>
      <c r="Q290" s="84" t="s">
        <v>382</v>
      </c>
      <c r="R290" s="3"/>
      <c r="S290" s="488">
        <f t="shared" si="30"/>
        <v>0</v>
      </c>
      <c r="T290" s="8">
        <f t="shared" si="31"/>
        <v>0</v>
      </c>
      <c r="U290" s="61">
        <f>T290*係数!$H$30</f>
        <v>0</v>
      </c>
      <c r="V290" s="61">
        <f>T290*係数!$C$30*0.0000258</f>
        <v>0</v>
      </c>
      <c r="W290" s="8">
        <f t="shared" si="32"/>
        <v>0</v>
      </c>
      <c r="X290" s="272">
        <f t="shared" si="33"/>
        <v>0</v>
      </c>
      <c r="Y290" s="489">
        <f t="shared" si="34"/>
        <v>0</v>
      </c>
    </row>
    <row r="291" spans="2:25">
      <c r="B291" s="100" t="s">
        <v>617</v>
      </c>
      <c r="C291" s="12"/>
      <c r="D291" s="3"/>
      <c r="E291" s="77"/>
      <c r="F291" s="62"/>
      <c r="G291" s="62"/>
      <c r="H291" s="84" t="s">
        <v>382</v>
      </c>
      <c r="I291" s="3"/>
      <c r="J291" s="60">
        <f t="shared" si="35"/>
        <v>0</v>
      </c>
      <c r="K291" s="60">
        <f t="shared" si="29"/>
        <v>0</v>
      </c>
      <c r="L291" s="61">
        <f>K291*係数!$H$30</f>
        <v>0</v>
      </c>
      <c r="M291" s="61">
        <f>K291*係数!$C$30*0.0000258</f>
        <v>0</v>
      </c>
      <c r="N291" s="12"/>
      <c r="O291" s="3"/>
      <c r="P291" s="3"/>
      <c r="Q291" s="84" t="s">
        <v>382</v>
      </c>
      <c r="R291" s="3"/>
      <c r="S291" s="488">
        <f t="shared" si="30"/>
        <v>0</v>
      </c>
      <c r="T291" s="8">
        <f t="shared" si="31"/>
        <v>0</v>
      </c>
      <c r="U291" s="61">
        <f>T291*係数!$H$30</f>
        <v>0</v>
      </c>
      <c r="V291" s="61">
        <f>T291*係数!$C$30*0.0000258</f>
        <v>0</v>
      </c>
      <c r="W291" s="8">
        <f t="shared" si="32"/>
        <v>0</v>
      </c>
      <c r="X291" s="272">
        <f t="shared" si="33"/>
        <v>0</v>
      </c>
      <c r="Y291" s="489">
        <f t="shared" si="34"/>
        <v>0</v>
      </c>
    </row>
    <row r="292" spans="2:25">
      <c r="B292" s="100" t="s">
        <v>618</v>
      </c>
      <c r="C292" s="12"/>
      <c r="D292" s="3"/>
      <c r="E292" s="77"/>
      <c r="F292" s="62"/>
      <c r="G292" s="62"/>
      <c r="H292" s="84" t="s">
        <v>382</v>
      </c>
      <c r="I292" s="3"/>
      <c r="J292" s="60">
        <f t="shared" si="35"/>
        <v>0</v>
      </c>
      <c r="K292" s="60">
        <f t="shared" si="29"/>
        <v>0</v>
      </c>
      <c r="L292" s="61">
        <f>K292*係数!$H$30</f>
        <v>0</v>
      </c>
      <c r="M292" s="61">
        <f>K292*係数!$C$30*0.0000258</f>
        <v>0</v>
      </c>
      <c r="N292" s="12"/>
      <c r="O292" s="3"/>
      <c r="P292" s="3"/>
      <c r="Q292" s="84" t="s">
        <v>382</v>
      </c>
      <c r="R292" s="3"/>
      <c r="S292" s="488">
        <f t="shared" si="30"/>
        <v>0</v>
      </c>
      <c r="T292" s="8">
        <f t="shared" si="31"/>
        <v>0</v>
      </c>
      <c r="U292" s="61">
        <f>T292*係数!$H$30</f>
        <v>0</v>
      </c>
      <c r="V292" s="61">
        <f>T292*係数!$C$30*0.0000258</f>
        <v>0</v>
      </c>
      <c r="W292" s="8">
        <f t="shared" si="32"/>
        <v>0</v>
      </c>
      <c r="X292" s="272">
        <f t="shared" si="33"/>
        <v>0</v>
      </c>
      <c r="Y292" s="489">
        <f t="shared" si="34"/>
        <v>0</v>
      </c>
    </row>
    <row r="293" spans="2:25">
      <c r="B293" s="100" t="s">
        <v>619</v>
      </c>
      <c r="C293" s="12"/>
      <c r="D293" s="3"/>
      <c r="E293" s="77"/>
      <c r="F293" s="62"/>
      <c r="G293" s="62"/>
      <c r="H293" s="84" t="s">
        <v>382</v>
      </c>
      <c r="I293" s="3"/>
      <c r="J293" s="60">
        <f t="shared" si="35"/>
        <v>0</v>
      </c>
      <c r="K293" s="60">
        <f t="shared" si="29"/>
        <v>0</v>
      </c>
      <c r="L293" s="61">
        <f>K293*係数!$H$30</f>
        <v>0</v>
      </c>
      <c r="M293" s="61">
        <f>K293*係数!$C$30*0.0000258</f>
        <v>0</v>
      </c>
      <c r="N293" s="12"/>
      <c r="O293" s="3"/>
      <c r="P293" s="3"/>
      <c r="Q293" s="84" t="s">
        <v>382</v>
      </c>
      <c r="R293" s="3"/>
      <c r="S293" s="488">
        <f t="shared" si="30"/>
        <v>0</v>
      </c>
      <c r="T293" s="8">
        <f t="shared" si="31"/>
        <v>0</v>
      </c>
      <c r="U293" s="61">
        <f>T293*係数!$H$30</f>
        <v>0</v>
      </c>
      <c r="V293" s="61">
        <f>T293*係数!$C$30*0.0000258</f>
        <v>0</v>
      </c>
      <c r="W293" s="8">
        <f t="shared" si="32"/>
        <v>0</v>
      </c>
      <c r="X293" s="272">
        <f t="shared" si="33"/>
        <v>0</v>
      </c>
      <c r="Y293" s="489">
        <f t="shared" si="34"/>
        <v>0</v>
      </c>
    </row>
    <row r="294" spans="2:25">
      <c r="B294" s="100" t="s">
        <v>620</v>
      </c>
      <c r="C294" s="12"/>
      <c r="D294" s="3"/>
      <c r="E294" s="77"/>
      <c r="F294" s="62"/>
      <c r="G294" s="62"/>
      <c r="H294" s="84" t="s">
        <v>382</v>
      </c>
      <c r="I294" s="3"/>
      <c r="J294" s="60">
        <f t="shared" si="35"/>
        <v>0</v>
      </c>
      <c r="K294" s="60">
        <f t="shared" si="29"/>
        <v>0</v>
      </c>
      <c r="L294" s="61">
        <f>K294*係数!$H$30</f>
        <v>0</v>
      </c>
      <c r="M294" s="61">
        <f>K294*係数!$C$30*0.0000258</f>
        <v>0</v>
      </c>
      <c r="N294" s="12"/>
      <c r="O294" s="3"/>
      <c r="P294" s="3"/>
      <c r="Q294" s="84" t="s">
        <v>382</v>
      </c>
      <c r="R294" s="3"/>
      <c r="S294" s="488">
        <f t="shared" si="30"/>
        <v>0</v>
      </c>
      <c r="T294" s="8">
        <f t="shared" si="31"/>
        <v>0</v>
      </c>
      <c r="U294" s="61">
        <f>T294*係数!$H$30</f>
        <v>0</v>
      </c>
      <c r="V294" s="61">
        <f>T294*係数!$C$30*0.0000258</f>
        <v>0</v>
      </c>
      <c r="W294" s="8">
        <f t="shared" si="32"/>
        <v>0</v>
      </c>
      <c r="X294" s="272">
        <f t="shared" si="33"/>
        <v>0</v>
      </c>
      <c r="Y294" s="489">
        <f t="shared" si="34"/>
        <v>0</v>
      </c>
    </row>
    <row r="295" spans="2:25">
      <c r="B295" s="100" t="s">
        <v>621</v>
      </c>
      <c r="C295" s="12"/>
      <c r="D295" s="3"/>
      <c r="E295" s="77"/>
      <c r="F295" s="62"/>
      <c r="G295" s="62"/>
      <c r="H295" s="84" t="s">
        <v>382</v>
      </c>
      <c r="I295" s="3"/>
      <c r="J295" s="60">
        <f t="shared" si="35"/>
        <v>0</v>
      </c>
      <c r="K295" s="60">
        <f t="shared" si="29"/>
        <v>0</v>
      </c>
      <c r="L295" s="61">
        <f>K295*係数!$H$30</f>
        <v>0</v>
      </c>
      <c r="M295" s="61">
        <f>K295*係数!$C$30*0.0000258</f>
        <v>0</v>
      </c>
      <c r="N295" s="12"/>
      <c r="O295" s="3"/>
      <c r="P295" s="3"/>
      <c r="Q295" s="84" t="s">
        <v>382</v>
      </c>
      <c r="R295" s="3"/>
      <c r="S295" s="488">
        <f t="shared" si="30"/>
        <v>0</v>
      </c>
      <c r="T295" s="8">
        <f t="shared" si="31"/>
        <v>0</v>
      </c>
      <c r="U295" s="61">
        <f>T295*係数!$H$30</f>
        <v>0</v>
      </c>
      <c r="V295" s="61">
        <f>T295*係数!$C$30*0.0000258</f>
        <v>0</v>
      </c>
      <c r="W295" s="8">
        <f t="shared" si="32"/>
        <v>0</v>
      </c>
      <c r="X295" s="272">
        <f t="shared" si="33"/>
        <v>0</v>
      </c>
      <c r="Y295" s="489">
        <f t="shared" si="34"/>
        <v>0</v>
      </c>
    </row>
    <row r="296" spans="2:25">
      <c r="B296" s="100" t="s">
        <v>622</v>
      </c>
      <c r="C296" s="12"/>
      <c r="D296" s="3"/>
      <c r="E296" s="77"/>
      <c r="F296" s="62"/>
      <c r="G296" s="62"/>
      <c r="H296" s="84" t="s">
        <v>382</v>
      </c>
      <c r="I296" s="3"/>
      <c r="J296" s="60">
        <f t="shared" si="35"/>
        <v>0</v>
      </c>
      <c r="K296" s="60">
        <f t="shared" si="29"/>
        <v>0</v>
      </c>
      <c r="L296" s="61">
        <f>K296*係数!$H$30</f>
        <v>0</v>
      </c>
      <c r="M296" s="61">
        <f>K296*係数!$C$30*0.0000258</f>
        <v>0</v>
      </c>
      <c r="N296" s="12"/>
      <c r="O296" s="3"/>
      <c r="P296" s="3"/>
      <c r="Q296" s="84" t="s">
        <v>382</v>
      </c>
      <c r="R296" s="3"/>
      <c r="S296" s="488">
        <f t="shared" si="30"/>
        <v>0</v>
      </c>
      <c r="T296" s="8">
        <f t="shared" si="31"/>
        <v>0</v>
      </c>
      <c r="U296" s="61">
        <f>T296*係数!$H$30</f>
        <v>0</v>
      </c>
      <c r="V296" s="61">
        <f>T296*係数!$C$30*0.0000258</f>
        <v>0</v>
      </c>
      <c r="W296" s="8">
        <f t="shared" si="32"/>
        <v>0</v>
      </c>
      <c r="X296" s="272">
        <f t="shared" si="33"/>
        <v>0</v>
      </c>
      <c r="Y296" s="489">
        <f t="shared" si="34"/>
        <v>0</v>
      </c>
    </row>
    <row r="297" spans="2:25">
      <c r="B297" s="100" t="s">
        <v>623</v>
      </c>
      <c r="C297" s="12"/>
      <c r="D297" s="3"/>
      <c r="E297" s="77"/>
      <c r="F297" s="62"/>
      <c r="G297" s="62"/>
      <c r="H297" s="84" t="s">
        <v>382</v>
      </c>
      <c r="I297" s="3"/>
      <c r="J297" s="60">
        <f t="shared" si="35"/>
        <v>0</v>
      </c>
      <c r="K297" s="60">
        <f t="shared" si="29"/>
        <v>0</v>
      </c>
      <c r="L297" s="61">
        <f>K297*係数!$H$30</f>
        <v>0</v>
      </c>
      <c r="M297" s="61">
        <f>K297*係数!$C$30*0.0000258</f>
        <v>0</v>
      </c>
      <c r="N297" s="12"/>
      <c r="O297" s="3"/>
      <c r="P297" s="3"/>
      <c r="Q297" s="84" t="s">
        <v>382</v>
      </c>
      <c r="R297" s="3"/>
      <c r="S297" s="488">
        <f t="shared" si="30"/>
        <v>0</v>
      </c>
      <c r="T297" s="8">
        <f t="shared" si="31"/>
        <v>0</v>
      </c>
      <c r="U297" s="61">
        <f>T297*係数!$H$30</f>
        <v>0</v>
      </c>
      <c r="V297" s="61">
        <f>T297*係数!$C$30*0.0000258</f>
        <v>0</v>
      </c>
      <c r="W297" s="8">
        <f t="shared" si="32"/>
        <v>0</v>
      </c>
      <c r="X297" s="272">
        <f t="shared" si="33"/>
        <v>0</v>
      </c>
      <c r="Y297" s="489">
        <f t="shared" si="34"/>
        <v>0</v>
      </c>
    </row>
    <row r="298" spans="2:25">
      <c r="B298" s="100" t="s">
        <v>624</v>
      </c>
      <c r="C298" s="12"/>
      <c r="D298" s="3"/>
      <c r="E298" s="77"/>
      <c r="F298" s="62"/>
      <c r="G298" s="62"/>
      <c r="H298" s="84" t="s">
        <v>382</v>
      </c>
      <c r="I298" s="3"/>
      <c r="J298" s="60">
        <f t="shared" si="35"/>
        <v>0</v>
      </c>
      <c r="K298" s="60">
        <f t="shared" si="29"/>
        <v>0</v>
      </c>
      <c r="L298" s="61">
        <f>K298*係数!$H$30</f>
        <v>0</v>
      </c>
      <c r="M298" s="61">
        <f>K298*係数!$C$30*0.0000258</f>
        <v>0</v>
      </c>
      <c r="N298" s="12"/>
      <c r="O298" s="3"/>
      <c r="P298" s="3"/>
      <c r="Q298" s="84" t="s">
        <v>382</v>
      </c>
      <c r="R298" s="3"/>
      <c r="S298" s="488">
        <f t="shared" si="30"/>
        <v>0</v>
      </c>
      <c r="T298" s="8">
        <f t="shared" si="31"/>
        <v>0</v>
      </c>
      <c r="U298" s="61">
        <f>T298*係数!$H$30</f>
        <v>0</v>
      </c>
      <c r="V298" s="61">
        <f>T298*係数!$C$30*0.0000258</f>
        <v>0</v>
      </c>
      <c r="W298" s="8">
        <f t="shared" si="32"/>
        <v>0</v>
      </c>
      <c r="X298" s="272">
        <f t="shared" si="33"/>
        <v>0</v>
      </c>
      <c r="Y298" s="489">
        <f t="shared" si="34"/>
        <v>0</v>
      </c>
    </row>
    <row r="299" spans="2:25">
      <c r="B299" s="100" t="s">
        <v>625</v>
      </c>
      <c r="C299" s="12"/>
      <c r="D299" s="3"/>
      <c r="E299" s="77"/>
      <c r="F299" s="62"/>
      <c r="G299" s="62"/>
      <c r="H299" s="84" t="s">
        <v>382</v>
      </c>
      <c r="I299" s="3"/>
      <c r="J299" s="60">
        <f t="shared" si="35"/>
        <v>0</v>
      </c>
      <c r="K299" s="60">
        <f t="shared" si="29"/>
        <v>0</v>
      </c>
      <c r="L299" s="61">
        <f>K299*係数!$H$30</f>
        <v>0</v>
      </c>
      <c r="M299" s="61">
        <f>K299*係数!$C$30*0.0000258</f>
        <v>0</v>
      </c>
      <c r="N299" s="12"/>
      <c r="O299" s="3"/>
      <c r="P299" s="3"/>
      <c r="Q299" s="84" t="s">
        <v>382</v>
      </c>
      <c r="R299" s="3"/>
      <c r="S299" s="488">
        <f t="shared" si="30"/>
        <v>0</v>
      </c>
      <c r="T299" s="8">
        <f t="shared" si="31"/>
        <v>0</v>
      </c>
      <c r="U299" s="61">
        <f>T299*係数!$H$30</f>
        <v>0</v>
      </c>
      <c r="V299" s="61">
        <f>T299*係数!$C$30*0.0000258</f>
        <v>0</v>
      </c>
      <c r="W299" s="8">
        <f t="shared" si="32"/>
        <v>0</v>
      </c>
      <c r="X299" s="272">
        <f t="shared" si="33"/>
        <v>0</v>
      </c>
      <c r="Y299" s="489">
        <f t="shared" si="34"/>
        <v>0</v>
      </c>
    </row>
    <row r="300" spans="2:25">
      <c r="B300" s="100" t="s">
        <v>626</v>
      </c>
      <c r="C300" s="12"/>
      <c r="D300" s="3"/>
      <c r="E300" s="77"/>
      <c r="F300" s="62"/>
      <c r="G300" s="62"/>
      <c r="H300" s="84" t="s">
        <v>382</v>
      </c>
      <c r="I300" s="3"/>
      <c r="J300" s="60">
        <f t="shared" si="35"/>
        <v>0</v>
      </c>
      <c r="K300" s="60">
        <f t="shared" si="29"/>
        <v>0</v>
      </c>
      <c r="L300" s="61">
        <f>K300*係数!$H$30</f>
        <v>0</v>
      </c>
      <c r="M300" s="61">
        <f>K300*係数!$C$30*0.0000258</f>
        <v>0</v>
      </c>
      <c r="N300" s="12"/>
      <c r="O300" s="3"/>
      <c r="P300" s="3"/>
      <c r="Q300" s="84" t="s">
        <v>382</v>
      </c>
      <c r="R300" s="3"/>
      <c r="S300" s="488">
        <f t="shared" si="30"/>
        <v>0</v>
      </c>
      <c r="T300" s="8">
        <f t="shared" si="31"/>
        <v>0</v>
      </c>
      <c r="U300" s="61">
        <f>T300*係数!$H$30</f>
        <v>0</v>
      </c>
      <c r="V300" s="61">
        <f>T300*係数!$C$30*0.0000258</f>
        <v>0</v>
      </c>
      <c r="W300" s="8">
        <f t="shared" si="32"/>
        <v>0</v>
      </c>
      <c r="X300" s="272">
        <f t="shared" si="33"/>
        <v>0</v>
      </c>
      <c r="Y300" s="489">
        <f t="shared" si="34"/>
        <v>0</v>
      </c>
    </row>
    <row r="301" spans="2:25">
      <c r="B301" s="100" t="s">
        <v>627</v>
      </c>
      <c r="C301" s="12"/>
      <c r="D301" s="3"/>
      <c r="E301" s="77"/>
      <c r="F301" s="62"/>
      <c r="G301" s="62"/>
      <c r="H301" s="84" t="s">
        <v>382</v>
      </c>
      <c r="I301" s="3"/>
      <c r="J301" s="60">
        <f t="shared" si="35"/>
        <v>0</v>
      </c>
      <c r="K301" s="60">
        <f t="shared" si="29"/>
        <v>0</v>
      </c>
      <c r="L301" s="61">
        <f>K301*係数!$H$30</f>
        <v>0</v>
      </c>
      <c r="M301" s="61">
        <f>K301*係数!$C$30*0.0000258</f>
        <v>0</v>
      </c>
      <c r="N301" s="12"/>
      <c r="O301" s="3"/>
      <c r="P301" s="3"/>
      <c r="Q301" s="84" t="s">
        <v>382</v>
      </c>
      <c r="R301" s="3"/>
      <c r="S301" s="488">
        <f t="shared" si="30"/>
        <v>0</v>
      </c>
      <c r="T301" s="8">
        <f t="shared" si="31"/>
        <v>0</v>
      </c>
      <c r="U301" s="61">
        <f>T301*係数!$H$30</f>
        <v>0</v>
      </c>
      <c r="V301" s="61">
        <f>T301*係数!$C$30*0.0000258</f>
        <v>0</v>
      </c>
      <c r="W301" s="8">
        <f t="shared" si="32"/>
        <v>0</v>
      </c>
      <c r="X301" s="272">
        <f t="shared" si="33"/>
        <v>0</v>
      </c>
      <c r="Y301" s="489">
        <f t="shared" si="34"/>
        <v>0</v>
      </c>
    </row>
    <row r="302" spans="2:25">
      <c r="B302" s="100" t="s">
        <v>628</v>
      </c>
      <c r="C302" s="12"/>
      <c r="D302" s="3"/>
      <c r="E302" s="77"/>
      <c r="F302" s="62"/>
      <c r="G302" s="62"/>
      <c r="H302" s="84" t="s">
        <v>382</v>
      </c>
      <c r="I302" s="3"/>
      <c r="J302" s="60">
        <f t="shared" si="35"/>
        <v>0</v>
      </c>
      <c r="K302" s="60">
        <f t="shared" si="29"/>
        <v>0</v>
      </c>
      <c r="L302" s="61">
        <f>K302*係数!$H$30</f>
        <v>0</v>
      </c>
      <c r="M302" s="61">
        <f>K302*係数!$C$30*0.0000258</f>
        <v>0</v>
      </c>
      <c r="N302" s="12"/>
      <c r="O302" s="3"/>
      <c r="P302" s="3"/>
      <c r="Q302" s="84" t="s">
        <v>382</v>
      </c>
      <c r="R302" s="3"/>
      <c r="S302" s="488">
        <f t="shared" si="30"/>
        <v>0</v>
      </c>
      <c r="T302" s="8">
        <f t="shared" si="31"/>
        <v>0</v>
      </c>
      <c r="U302" s="61">
        <f>T302*係数!$H$30</f>
        <v>0</v>
      </c>
      <c r="V302" s="61">
        <f>T302*係数!$C$30*0.0000258</f>
        <v>0</v>
      </c>
      <c r="W302" s="8">
        <f t="shared" si="32"/>
        <v>0</v>
      </c>
      <c r="X302" s="272">
        <f t="shared" si="33"/>
        <v>0</v>
      </c>
      <c r="Y302" s="489">
        <f t="shared" si="34"/>
        <v>0</v>
      </c>
    </row>
    <row r="303" spans="2:25">
      <c r="B303" s="100" t="s">
        <v>629</v>
      </c>
      <c r="C303" s="12"/>
      <c r="D303" s="3"/>
      <c r="E303" s="77"/>
      <c r="F303" s="62"/>
      <c r="G303" s="62"/>
      <c r="H303" s="84" t="s">
        <v>382</v>
      </c>
      <c r="I303" s="3"/>
      <c r="J303" s="60">
        <f t="shared" si="35"/>
        <v>0</v>
      </c>
      <c r="K303" s="60">
        <f t="shared" si="29"/>
        <v>0</v>
      </c>
      <c r="L303" s="61">
        <f>K303*係数!$H$30</f>
        <v>0</v>
      </c>
      <c r="M303" s="61">
        <f>K303*係数!$C$30*0.0000258</f>
        <v>0</v>
      </c>
      <c r="N303" s="12"/>
      <c r="O303" s="3"/>
      <c r="P303" s="3"/>
      <c r="Q303" s="84" t="s">
        <v>382</v>
      </c>
      <c r="R303" s="3"/>
      <c r="S303" s="488">
        <f t="shared" si="30"/>
        <v>0</v>
      </c>
      <c r="T303" s="8">
        <f t="shared" si="31"/>
        <v>0</v>
      </c>
      <c r="U303" s="61">
        <f>T303*係数!$H$30</f>
        <v>0</v>
      </c>
      <c r="V303" s="61">
        <f>T303*係数!$C$30*0.0000258</f>
        <v>0</v>
      </c>
      <c r="W303" s="8">
        <f t="shared" si="32"/>
        <v>0</v>
      </c>
      <c r="X303" s="272">
        <f t="shared" si="33"/>
        <v>0</v>
      </c>
      <c r="Y303" s="489">
        <f t="shared" si="34"/>
        <v>0</v>
      </c>
    </row>
    <row r="304" spans="2:25">
      <c r="B304" s="100" t="s">
        <v>630</v>
      </c>
      <c r="C304" s="12"/>
      <c r="D304" s="3"/>
      <c r="E304" s="77"/>
      <c r="F304" s="62"/>
      <c r="G304" s="62"/>
      <c r="H304" s="84" t="s">
        <v>382</v>
      </c>
      <c r="I304" s="3"/>
      <c r="J304" s="60">
        <f t="shared" si="35"/>
        <v>0</v>
      </c>
      <c r="K304" s="60">
        <f t="shared" si="29"/>
        <v>0</v>
      </c>
      <c r="L304" s="61">
        <f>K304*係数!$H$30</f>
        <v>0</v>
      </c>
      <c r="M304" s="61">
        <f>K304*係数!$C$30*0.0000258</f>
        <v>0</v>
      </c>
      <c r="N304" s="12"/>
      <c r="O304" s="3"/>
      <c r="P304" s="3"/>
      <c r="Q304" s="84" t="s">
        <v>382</v>
      </c>
      <c r="R304" s="3"/>
      <c r="S304" s="488">
        <f t="shared" si="30"/>
        <v>0</v>
      </c>
      <c r="T304" s="8">
        <f t="shared" si="31"/>
        <v>0</v>
      </c>
      <c r="U304" s="61">
        <f>T304*係数!$H$30</f>
        <v>0</v>
      </c>
      <c r="V304" s="61">
        <f>T304*係数!$C$30*0.0000258</f>
        <v>0</v>
      </c>
      <c r="W304" s="8">
        <f t="shared" si="32"/>
        <v>0</v>
      </c>
      <c r="X304" s="272">
        <f t="shared" si="33"/>
        <v>0</v>
      </c>
      <c r="Y304" s="489">
        <f t="shared" si="34"/>
        <v>0</v>
      </c>
    </row>
    <row r="305" spans="2:25">
      <c r="B305" s="100" t="s">
        <v>631</v>
      </c>
      <c r="C305" s="12"/>
      <c r="D305" s="3"/>
      <c r="E305" s="77"/>
      <c r="F305" s="62"/>
      <c r="G305" s="62"/>
      <c r="H305" s="84" t="s">
        <v>382</v>
      </c>
      <c r="I305" s="3"/>
      <c r="J305" s="60">
        <f t="shared" si="35"/>
        <v>0</v>
      </c>
      <c r="K305" s="60">
        <f t="shared" si="29"/>
        <v>0</v>
      </c>
      <c r="L305" s="61">
        <f>K305*係数!$H$30</f>
        <v>0</v>
      </c>
      <c r="M305" s="61">
        <f>K305*係数!$C$30*0.0000258</f>
        <v>0</v>
      </c>
      <c r="N305" s="12"/>
      <c r="O305" s="3"/>
      <c r="P305" s="3"/>
      <c r="Q305" s="84" t="s">
        <v>382</v>
      </c>
      <c r="R305" s="3"/>
      <c r="S305" s="488">
        <f t="shared" si="30"/>
        <v>0</v>
      </c>
      <c r="T305" s="8">
        <f t="shared" si="31"/>
        <v>0</v>
      </c>
      <c r="U305" s="61">
        <f>T305*係数!$H$30</f>
        <v>0</v>
      </c>
      <c r="V305" s="61">
        <f>T305*係数!$C$30*0.0000258</f>
        <v>0</v>
      </c>
      <c r="W305" s="8">
        <f t="shared" si="32"/>
        <v>0</v>
      </c>
      <c r="X305" s="272">
        <f t="shared" si="33"/>
        <v>0</v>
      </c>
      <c r="Y305" s="489">
        <f t="shared" si="34"/>
        <v>0</v>
      </c>
    </row>
    <row r="306" spans="2:25">
      <c r="B306" s="100" t="s">
        <v>632</v>
      </c>
      <c r="C306" s="12"/>
      <c r="D306" s="3"/>
      <c r="E306" s="77"/>
      <c r="F306" s="62"/>
      <c r="G306" s="62"/>
      <c r="H306" s="84" t="s">
        <v>382</v>
      </c>
      <c r="I306" s="3"/>
      <c r="J306" s="60">
        <f t="shared" si="35"/>
        <v>0</v>
      </c>
      <c r="K306" s="60">
        <f t="shared" si="29"/>
        <v>0</v>
      </c>
      <c r="L306" s="61">
        <f>K306*係数!$H$30</f>
        <v>0</v>
      </c>
      <c r="M306" s="61">
        <f>K306*係数!$C$30*0.0000258</f>
        <v>0</v>
      </c>
      <c r="N306" s="12"/>
      <c r="O306" s="3"/>
      <c r="P306" s="3"/>
      <c r="Q306" s="84" t="s">
        <v>382</v>
      </c>
      <c r="R306" s="3"/>
      <c r="S306" s="488">
        <f t="shared" si="30"/>
        <v>0</v>
      </c>
      <c r="T306" s="8">
        <f t="shared" si="31"/>
        <v>0</v>
      </c>
      <c r="U306" s="61">
        <f>T306*係数!$H$30</f>
        <v>0</v>
      </c>
      <c r="V306" s="61">
        <f>T306*係数!$C$30*0.0000258</f>
        <v>0</v>
      </c>
      <c r="W306" s="8">
        <f t="shared" si="32"/>
        <v>0</v>
      </c>
      <c r="X306" s="272">
        <f t="shared" si="33"/>
        <v>0</v>
      </c>
      <c r="Y306" s="489">
        <f t="shared" si="34"/>
        <v>0</v>
      </c>
    </row>
    <row r="307" spans="2:25">
      <c r="B307" s="100" t="s">
        <v>633</v>
      </c>
      <c r="C307" s="12"/>
      <c r="D307" s="3"/>
      <c r="E307" s="77"/>
      <c r="F307" s="62"/>
      <c r="G307" s="62"/>
      <c r="H307" s="84" t="s">
        <v>382</v>
      </c>
      <c r="I307" s="3"/>
      <c r="J307" s="60">
        <f t="shared" si="35"/>
        <v>0</v>
      </c>
      <c r="K307" s="60">
        <f t="shared" si="29"/>
        <v>0</v>
      </c>
      <c r="L307" s="61">
        <f>K307*係数!$H$30</f>
        <v>0</v>
      </c>
      <c r="M307" s="61">
        <f>K307*係数!$C$30*0.0000258</f>
        <v>0</v>
      </c>
      <c r="N307" s="12"/>
      <c r="O307" s="3"/>
      <c r="P307" s="3"/>
      <c r="Q307" s="84" t="s">
        <v>382</v>
      </c>
      <c r="R307" s="3"/>
      <c r="S307" s="488">
        <f t="shared" si="30"/>
        <v>0</v>
      </c>
      <c r="T307" s="8">
        <f t="shared" si="31"/>
        <v>0</v>
      </c>
      <c r="U307" s="61">
        <f>T307*係数!$H$30</f>
        <v>0</v>
      </c>
      <c r="V307" s="61">
        <f>T307*係数!$C$30*0.0000258</f>
        <v>0</v>
      </c>
      <c r="W307" s="8">
        <f t="shared" si="32"/>
        <v>0</v>
      </c>
      <c r="X307" s="272">
        <f t="shared" si="33"/>
        <v>0</v>
      </c>
      <c r="Y307" s="489">
        <f t="shared" si="34"/>
        <v>0</v>
      </c>
    </row>
    <row r="308" spans="2:25">
      <c r="B308" s="100" t="s">
        <v>634</v>
      </c>
      <c r="C308" s="12"/>
      <c r="D308" s="3"/>
      <c r="E308" s="77"/>
      <c r="F308" s="62"/>
      <c r="G308" s="62"/>
      <c r="H308" s="84" t="s">
        <v>382</v>
      </c>
      <c r="I308" s="3"/>
      <c r="J308" s="60">
        <f t="shared" si="35"/>
        <v>0</v>
      </c>
      <c r="K308" s="60">
        <f t="shared" si="29"/>
        <v>0</v>
      </c>
      <c r="L308" s="61">
        <f>K308*係数!$H$30</f>
        <v>0</v>
      </c>
      <c r="M308" s="61">
        <f>K308*係数!$C$30*0.0000258</f>
        <v>0</v>
      </c>
      <c r="N308" s="12"/>
      <c r="O308" s="3"/>
      <c r="P308" s="3"/>
      <c r="Q308" s="84" t="s">
        <v>382</v>
      </c>
      <c r="R308" s="3"/>
      <c r="S308" s="488">
        <f t="shared" si="30"/>
        <v>0</v>
      </c>
      <c r="T308" s="8">
        <f t="shared" si="31"/>
        <v>0</v>
      </c>
      <c r="U308" s="61">
        <f>T308*係数!$H$30</f>
        <v>0</v>
      </c>
      <c r="V308" s="61">
        <f>T308*係数!$C$30*0.0000258</f>
        <v>0</v>
      </c>
      <c r="W308" s="8">
        <f t="shared" si="32"/>
        <v>0</v>
      </c>
      <c r="X308" s="272">
        <f t="shared" si="33"/>
        <v>0</v>
      </c>
      <c r="Y308" s="489">
        <f t="shared" si="34"/>
        <v>0</v>
      </c>
    </row>
    <row r="309" spans="2:25">
      <c r="B309" s="100" t="s">
        <v>635</v>
      </c>
      <c r="C309" s="12"/>
      <c r="D309" s="3"/>
      <c r="E309" s="77"/>
      <c r="F309" s="62"/>
      <c r="G309" s="62"/>
      <c r="H309" s="84" t="s">
        <v>382</v>
      </c>
      <c r="I309" s="3"/>
      <c r="J309" s="60">
        <f t="shared" si="35"/>
        <v>0</v>
      </c>
      <c r="K309" s="60">
        <f t="shared" si="29"/>
        <v>0</v>
      </c>
      <c r="L309" s="61">
        <f>K309*係数!$H$30</f>
        <v>0</v>
      </c>
      <c r="M309" s="61">
        <f>K309*係数!$C$30*0.0000258</f>
        <v>0</v>
      </c>
      <c r="N309" s="12"/>
      <c r="O309" s="3"/>
      <c r="P309" s="3"/>
      <c r="Q309" s="84" t="s">
        <v>382</v>
      </c>
      <c r="R309" s="3"/>
      <c r="S309" s="488">
        <f t="shared" si="30"/>
        <v>0</v>
      </c>
      <c r="T309" s="8">
        <f t="shared" si="31"/>
        <v>0</v>
      </c>
      <c r="U309" s="61">
        <f>T309*係数!$H$30</f>
        <v>0</v>
      </c>
      <c r="V309" s="61">
        <f>T309*係数!$C$30*0.0000258</f>
        <v>0</v>
      </c>
      <c r="W309" s="8">
        <f t="shared" si="32"/>
        <v>0</v>
      </c>
      <c r="X309" s="272">
        <f t="shared" si="33"/>
        <v>0</v>
      </c>
      <c r="Y309" s="489">
        <f t="shared" si="34"/>
        <v>0</v>
      </c>
    </row>
    <row r="310" spans="2:25">
      <c r="B310" s="100" t="s">
        <v>636</v>
      </c>
      <c r="C310" s="12"/>
      <c r="D310" s="3"/>
      <c r="E310" s="77"/>
      <c r="F310" s="62"/>
      <c r="G310" s="62"/>
      <c r="H310" s="84" t="s">
        <v>382</v>
      </c>
      <c r="I310" s="3"/>
      <c r="J310" s="60">
        <f t="shared" si="35"/>
        <v>0</v>
      </c>
      <c r="K310" s="60">
        <f t="shared" si="29"/>
        <v>0</v>
      </c>
      <c r="L310" s="61">
        <f>K310*係数!$H$30</f>
        <v>0</v>
      </c>
      <c r="M310" s="61">
        <f>K310*係数!$C$30*0.0000258</f>
        <v>0</v>
      </c>
      <c r="N310" s="12"/>
      <c r="O310" s="3"/>
      <c r="P310" s="3"/>
      <c r="Q310" s="84" t="s">
        <v>382</v>
      </c>
      <c r="R310" s="3"/>
      <c r="S310" s="488">
        <f t="shared" si="30"/>
        <v>0</v>
      </c>
      <c r="T310" s="8">
        <f t="shared" si="31"/>
        <v>0</v>
      </c>
      <c r="U310" s="61">
        <f>T310*係数!$H$30</f>
        <v>0</v>
      </c>
      <c r="V310" s="61">
        <f>T310*係数!$C$30*0.0000258</f>
        <v>0</v>
      </c>
      <c r="W310" s="8">
        <f t="shared" si="32"/>
        <v>0</v>
      </c>
      <c r="X310" s="272">
        <f t="shared" si="33"/>
        <v>0</v>
      </c>
      <c r="Y310" s="489">
        <f t="shared" si="34"/>
        <v>0</v>
      </c>
    </row>
    <row r="311" spans="2:25">
      <c r="B311" s="100" t="s">
        <v>637</v>
      </c>
      <c r="C311" s="12"/>
      <c r="D311" s="3"/>
      <c r="E311" s="77"/>
      <c r="F311" s="62"/>
      <c r="G311" s="62"/>
      <c r="H311" s="84" t="s">
        <v>382</v>
      </c>
      <c r="I311" s="3"/>
      <c r="J311" s="60">
        <f t="shared" si="35"/>
        <v>0</v>
      </c>
      <c r="K311" s="60">
        <f t="shared" si="29"/>
        <v>0</v>
      </c>
      <c r="L311" s="61">
        <f>K311*係数!$H$30</f>
        <v>0</v>
      </c>
      <c r="M311" s="61">
        <f>K311*係数!$C$30*0.0000258</f>
        <v>0</v>
      </c>
      <c r="N311" s="12"/>
      <c r="O311" s="3"/>
      <c r="P311" s="3"/>
      <c r="Q311" s="84" t="s">
        <v>382</v>
      </c>
      <c r="R311" s="3"/>
      <c r="S311" s="488">
        <f t="shared" si="30"/>
        <v>0</v>
      </c>
      <c r="T311" s="8">
        <f t="shared" si="31"/>
        <v>0</v>
      </c>
      <c r="U311" s="61">
        <f>T311*係数!$H$30</f>
        <v>0</v>
      </c>
      <c r="V311" s="61">
        <f>T311*係数!$C$30*0.0000258</f>
        <v>0</v>
      </c>
      <c r="W311" s="8">
        <f t="shared" si="32"/>
        <v>0</v>
      </c>
      <c r="X311" s="272">
        <f t="shared" si="33"/>
        <v>0</v>
      </c>
      <c r="Y311" s="489">
        <f t="shared" si="34"/>
        <v>0</v>
      </c>
    </row>
    <row r="312" spans="2:25">
      <c r="B312" s="100" t="s">
        <v>638</v>
      </c>
      <c r="C312" s="12"/>
      <c r="D312" s="3"/>
      <c r="E312" s="77"/>
      <c r="F312" s="62"/>
      <c r="G312" s="62"/>
      <c r="H312" s="84" t="s">
        <v>382</v>
      </c>
      <c r="I312" s="3"/>
      <c r="J312" s="60">
        <f t="shared" si="35"/>
        <v>0</v>
      </c>
      <c r="K312" s="60">
        <f t="shared" si="29"/>
        <v>0</v>
      </c>
      <c r="L312" s="61">
        <f>K312*係数!$H$30</f>
        <v>0</v>
      </c>
      <c r="M312" s="61">
        <f>K312*係数!$C$30*0.0000258</f>
        <v>0</v>
      </c>
      <c r="N312" s="12"/>
      <c r="O312" s="3"/>
      <c r="P312" s="3"/>
      <c r="Q312" s="84" t="s">
        <v>382</v>
      </c>
      <c r="R312" s="3"/>
      <c r="S312" s="488">
        <f t="shared" si="30"/>
        <v>0</v>
      </c>
      <c r="T312" s="8">
        <f t="shared" si="31"/>
        <v>0</v>
      </c>
      <c r="U312" s="61">
        <f>T312*係数!$H$30</f>
        <v>0</v>
      </c>
      <c r="V312" s="61">
        <f>T312*係数!$C$30*0.0000258</f>
        <v>0</v>
      </c>
      <c r="W312" s="8">
        <f t="shared" si="32"/>
        <v>0</v>
      </c>
      <c r="X312" s="272">
        <f t="shared" si="33"/>
        <v>0</v>
      </c>
      <c r="Y312" s="489">
        <f t="shared" si="34"/>
        <v>0</v>
      </c>
    </row>
    <row r="313" spans="2:25">
      <c r="B313" s="100" t="s">
        <v>639</v>
      </c>
      <c r="C313" s="12"/>
      <c r="D313" s="3"/>
      <c r="E313" s="77"/>
      <c r="F313" s="62"/>
      <c r="G313" s="62"/>
      <c r="H313" s="84" t="s">
        <v>382</v>
      </c>
      <c r="I313" s="3"/>
      <c r="J313" s="60">
        <f t="shared" si="35"/>
        <v>0</v>
      </c>
      <c r="K313" s="60">
        <f t="shared" si="29"/>
        <v>0</v>
      </c>
      <c r="L313" s="61">
        <f>K313*係数!$H$30</f>
        <v>0</v>
      </c>
      <c r="M313" s="61">
        <f>K313*係数!$C$30*0.0000258</f>
        <v>0</v>
      </c>
      <c r="N313" s="12"/>
      <c r="O313" s="3"/>
      <c r="P313" s="3"/>
      <c r="Q313" s="84" t="s">
        <v>382</v>
      </c>
      <c r="R313" s="3"/>
      <c r="S313" s="488">
        <f t="shared" si="30"/>
        <v>0</v>
      </c>
      <c r="T313" s="8">
        <f t="shared" si="31"/>
        <v>0</v>
      </c>
      <c r="U313" s="61">
        <f>T313*係数!$H$30</f>
        <v>0</v>
      </c>
      <c r="V313" s="61">
        <f>T313*係数!$C$30*0.0000258</f>
        <v>0</v>
      </c>
      <c r="W313" s="8">
        <f t="shared" si="32"/>
        <v>0</v>
      </c>
      <c r="X313" s="272">
        <f t="shared" si="33"/>
        <v>0</v>
      </c>
      <c r="Y313" s="489">
        <f t="shared" si="34"/>
        <v>0</v>
      </c>
    </row>
    <row r="314" spans="2:25">
      <c r="B314" s="100" t="s">
        <v>640</v>
      </c>
      <c r="C314" s="12"/>
      <c r="D314" s="3"/>
      <c r="E314" s="77"/>
      <c r="F314" s="62"/>
      <c r="G314" s="62"/>
      <c r="H314" s="84" t="s">
        <v>382</v>
      </c>
      <c r="I314" s="3"/>
      <c r="J314" s="60">
        <f t="shared" si="35"/>
        <v>0</v>
      </c>
      <c r="K314" s="60">
        <f t="shared" si="29"/>
        <v>0</v>
      </c>
      <c r="L314" s="61">
        <f>K314*係数!$H$30</f>
        <v>0</v>
      </c>
      <c r="M314" s="61">
        <f>K314*係数!$C$30*0.0000258</f>
        <v>0</v>
      </c>
      <c r="N314" s="12"/>
      <c r="O314" s="3"/>
      <c r="P314" s="3"/>
      <c r="Q314" s="84" t="s">
        <v>382</v>
      </c>
      <c r="R314" s="3"/>
      <c r="S314" s="488">
        <f t="shared" si="30"/>
        <v>0</v>
      </c>
      <c r="T314" s="8">
        <f t="shared" si="31"/>
        <v>0</v>
      </c>
      <c r="U314" s="61">
        <f>T314*係数!$H$30</f>
        <v>0</v>
      </c>
      <c r="V314" s="61">
        <f>T314*係数!$C$30*0.0000258</f>
        <v>0</v>
      </c>
      <c r="W314" s="8">
        <f t="shared" si="32"/>
        <v>0</v>
      </c>
      <c r="X314" s="272">
        <f t="shared" si="33"/>
        <v>0</v>
      </c>
      <c r="Y314" s="489">
        <f t="shared" si="34"/>
        <v>0</v>
      </c>
    </row>
    <row r="315" spans="2:25">
      <c r="B315" s="100" t="s">
        <v>641</v>
      </c>
      <c r="C315" s="12"/>
      <c r="D315" s="3"/>
      <c r="E315" s="77"/>
      <c r="F315" s="62"/>
      <c r="G315" s="62"/>
      <c r="H315" s="84" t="s">
        <v>382</v>
      </c>
      <c r="I315" s="3"/>
      <c r="J315" s="60">
        <f t="shared" si="35"/>
        <v>0</v>
      </c>
      <c r="K315" s="60">
        <f t="shared" si="29"/>
        <v>0</v>
      </c>
      <c r="L315" s="61">
        <f>K315*係数!$H$30</f>
        <v>0</v>
      </c>
      <c r="M315" s="61">
        <f>K315*係数!$C$30*0.0000258</f>
        <v>0</v>
      </c>
      <c r="N315" s="12"/>
      <c r="O315" s="3"/>
      <c r="P315" s="3"/>
      <c r="Q315" s="84" t="s">
        <v>382</v>
      </c>
      <c r="R315" s="3"/>
      <c r="S315" s="488">
        <f t="shared" si="30"/>
        <v>0</v>
      </c>
      <c r="T315" s="8">
        <f t="shared" si="31"/>
        <v>0</v>
      </c>
      <c r="U315" s="61">
        <f>T315*係数!$H$30</f>
        <v>0</v>
      </c>
      <c r="V315" s="61">
        <f>T315*係数!$C$30*0.0000258</f>
        <v>0</v>
      </c>
      <c r="W315" s="8">
        <f t="shared" si="32"/>
        <v>0</v>
      </c>
      <c r="X315" s="272">
        <f t="shared" si="33"/>
        <v>0</v>
      </c>
      <c r="Y315" s="489">
        <f t="shared" si="34"/>
        <v>0</v>
      </c>
    </row>
    <row r="316" spans="2:25">
      <c r="B316" s="100" t="s">
        <v>642</v>
      </c>
      <c r="C316" s="12"/>
      <c r="D316" s="3"/>
      <c r="E316" s="77"/>
      <c r="F316" s="62"/>
      <c r="G316" s="62"/>
      <c r="H316" s="84" t="s">
        <v>382</v>
      </c>
      <c r="I316" s="3"/>
      <c r="J316" s="60">
        <f t="shared" si="35"/>
        <v>0</v>
      </c>
      <c r="K316" s="60">
        <f t="shared" si="29"/>
        <v>0</v>
      </c>
      <c r="L316" s="61">
        <f>K316*係数!$H$30</f>
        <v>0</v>
      </c>
      <c r="M316" s="61">
        <f>K316*係数!$C$30*0.0000258</f>
        <v>0</v>
      </c>
      <c r="N316" s="12"/>
      <c r="O316" s="3"/>
      <c r="P316" s="3"/>
      <c r="Q316" s="84" t="s">
        <v>382</v>
      </c>
      <c r="R316" s="3"/>
      <c r="S316" s="488">
        <f t="shared" si="30"/>
        <v>0</v>
      </c>
      <c r="T316" s="8">
        <f t="shared" si="31"/>
        <v>0</v>
      </c>
      <c r="U316" s="61">
        <f>T316*係数!$H$30</f>
        <v>0</v>
      </c>
      <c r="V316" s="61">
        <f>T316*係数!$C$30*0.0000258</f>
        <v>0</v>
      </c>
      <c r="W316" s="8">
        <f t="shared" si="32"/>
        <v>0</v>
      </c>
      <c r="X316" s="272">
        <f t="shared" si="33"/>
        <v>0</v>
      </c>
      <c r="Y316" s="489">
        <f t="shared" si="34"/>
        <v>0</v>
      </c>
    </row>
    <row r="317" spans="2:25">
      <c r="B317" s="100" t="s">
        <v>643</v>
      </c>
      <c r="C317" s="12"/>
      <c r="D317" s="3"/>
      <c r="E317" s="77"/>
      <c r="F317" s="62"/>
      <c r="G317" s="62"/>
      <c r="H317" s="84" t="s">
        <v>382</v>
      </c>
      <c r="I317" s="3"/>
      <c r="J317" s="60">
        <f t="shared" si="35"/>
        <v>0</v>
      </c>
      <c r="K317" s="60">
        <f t="shared" si="29"/>
        <v>0</v>
      </c>
      <c r="L317" s="61">
        <f>K317*係数!$H$30</f>
        <v>0</v>
      </c>
      <c r="M317" s="61">
        <f>K317*係数!$C$30*0.0000258</f>
        <v>0</v>
      </c>
      <c r="N317" s="12"/>
      <c r="O317" s="3"/>
      <c r="P317" s="3"/>
      <c r="Q317" s="84" t="s">
        <v>382</v>
      </c>
      <c r="R317" s="3"/>
      <c r="S317" s="488">
        <f t="shared" si="30"/>
        <v>0</v>
      </c>
      <c r="T317" s="8">
        <f t="shared" si="31"/>
        <v>0</v>
      </c>
      <c r="U317" s="61">
        <f>T317*係数!$H$30</f>
        <v>0</v>
      </c>
      <c r="V317" s="61">
        <f>T317*係数!$C$30*0.0000258</f>
        <v>0</v>
      </c>
      <c r="W317" s="8">
        <f t="shared" si="32"/>
        <v>0</v>
      </c>
      <c r="X317" s="272">
        <f t="shared" si="33"/>
        <v>0</v>
      </c>
      <c r="Y317" s="489">
        <f t="shared" si="34"/>
        <v>0</v>
      </c>
    </row>
    <row r="318" spans="2:25">
      <c r="B318" s="100" t="s">
        <v>644</v>
      </c>
      <c r="C318" s="12"/>
      <c r="D318" s="3"/>
      <c r="E318" s="77"/>
      <c r="F318" s="62"/>
      <c r="G318" s="62"/>
      <c r="H318" s="84" t="s">
        <v>382</v>
      </c>
      <c r="I318" s="3"/>
      <c r="J318" s="60">
        <f t="shared" si="35"/>
        <v>0</v>
      </c>
      <c r="K318" s="60">
        <f t="shared" si="29"/>
        <v>0</v>
      </c>
      <c r="L318" s="61">
        <f>K318*係数!$H$30</f>
        <v>0</v>
      </c>
      <c r="M318" s="61">
        <f>K318*係数!$C$30*0.0000258</f>
        <v>0</v>
      </c>
      <c r="N318" s="12"/>
      <c r="O318" s="3"/>
      <c r="P318" s="3"/>
      <c r="Q318" s="84" t="s">
        <v>382</v>
      </c>
      <c r="R318" s="3"/>
      <c r="S318" s="488">
        <f t="shared" si="30"/>
        <v>0</v>
      </c>
      <c r="T318" s="8">
        <f t="shared" si="31"/>
        <v>0</v>
      </c>
      <c r="U318" s="61">
        <f>T318*係数!$H$30</f>
        <v>0</v>
      </c>
      <c r="V318" s="61">
        <f>T318*係数!$C$30*0.0000258</f>
        <v>0</v>
      </c>
      <c r="W318" s="8">
        <f t="shared" si="32"/>
        <v>0</v>
      </c>
      <c r="X318" s="272">
        <f t="shared" si="33"/>
        <v>0</v>
      </c>
      <c r="Y318" s="489">
        <f t="shared" si="34"/>
        <v>0</v>
      </c>
    </row>
    <row r="319" spans="2:25">
      <c r="B319" s="100" t="s">
        <v>645</v>
      </c>
      <c r="C319" s="12"/>
      <c r="D319" s="3"/>
      <c r="E319" s="77"/>
      <c r="F319" s="62"/>
      <c r="G319" s="62"/>
      <c r="H319" s="84" t="s">
        <v>382</v>
      </c>
      <c r="I319" s="3"/>
      <c r="J319" s="60">
        <f t="shared" si="35"/>
        <v>0</v>
      </c>
      <c r="K319" s="60">
        <f t="shared" si="29"/>
        <v>0</v>
      </c>
      <c r="L319" s="61">
        <f>K319*係数!$H$30</f>
        <v>0</v>
      </c>
      <c r="M319" s="61">
        <f>K319*係数!$C$30*0.0000258</f>
        <v>0</v>
      </c>
      <c r="N319" s="12"/>
      <c r="O319" s="3"/>
      <c r="P319" s="3"/>
      <c r="Q319" s="84" t="s">
        <v>382</v>
      </c>
      <c r="R319" s="3"/>
      <c r="S319" s="488">
        <f t="shared" si="30"/>
        <v>0</v>
      </c>
      <c r="T319" s="8">
        <f t="shared" si="31"/>
        <v>0</v>
      </c>
      <c r="U319" s="61">
        <f>T319*係数!$H$30</f>
        <v>0</v>
      </c>
      <c r="V319" s="61">
        <f>T319*係数!$C$30*0.0000258</f>
        <v>0</v>
      </c>
      <c r="W319" s="8">
        <f t="shared" si="32"/>
        <v>0</v>
      </c>
      <c r="X319" s="272">
        <f t="shared" si="33"/>
        <v>0</v>
      </c>
      <c r="Y319" s="489">
        <f t="shared" si="34"/>
        <v>0</v>
      </c>
    </row>
    <row r="320" spans="2:25">
      <c r="B320" s="100" t="s">
        <v>646</v>
      </c>
      <c r="C320" s="12"/>
      <c r="D320" s="3"/>
      <c r="E320" s="77"/>
      <c r="F320" s="62"/>
      <c r="G320" s="62"/>
      <c r="H320" s="84" t="s">
        <v>382</v>
      </c>
      <c r="I320" s="3"/>
      <c r="J320" s="60">
        <f t="shared" si="35"/>
        <v>0</v>
      </c>
      <c r="K320" s="60">
        <f t="shared" si="29"/>
        <v>0</v>
      </c>
      <c r="L320" s="61">
        <f>K320*係数!$H$30</f>
        <v>0</v>
      </c>
      <c r="M320" s="61">
        <f>K320*係数!$C$30*0.0000258</f>
        <v>0</v>
      </c>
      <c r="N320" s="12"/>
      <c r="O320" s="3"/>
      <c r="P320" s="3"/>
      <c r="Q320" s="84" t="s">
        <v>382</v>
      </c>
      <c r="R320" s="3"/>
      <c r="S320" s="488">
        <f t="shared" si="30"/>
        <v>0</v>
      </c>
      <c r="T320" s="8">
        <f t="shared" si="31"/>
        <v>0</v>
      </c>
      <c r="U320" s="61">
        <f>T320*係数!$H$30</f>
        <v>0</v>
      </c>
      <c r="V320" s="61">
        <f>T320*係数!$C$30*0.0000258</f>
        <v>0</v>
      </c>
      <c r="W320" s="8">
        <f t="shared" si="32"/>
        <v>0</v>
      </c>
      <c r="X320" s="272">
        <f t="shared" si="33"/>
        <v>0</v>
      </c>
      <c r="Y320" s="489">
        <f t="shared" si="34"/>
        <v>0</v>
      </c>
    </row>
    <row r="321" spans="2:25">
      <c r="B321" s="100" t="s">
        <v>647</v>
      </c>
      <c r="C321" s="12"/>
      <c r="D321" s="3"/>
      <c r="E321" s="77"/>
      <c r="F321" s="62"/>
      <c r="G321" s="62"/>
      <c r="H321" s="84" t="s">
        <v>382</v>
      </c>
      <c r="I321" s="3"/>
      <c r="J321" s="60">
        <f t="shared" si="35"/>
        <v>0</v>
      </c>
      <c r="K321" s="60">
        <f t="shared" si="29"/>
        <v>0</v>
      </c>
      <c r="L321" s="61">
        <f>K321*係数!$H$30</f>
        <v>0</v>
      </c>
      <c r="M321" s="61">
        <f>K321*係数!$C$30*0.0000258</f>
        <v>0</v>
      </c>
      <c r="N321" s="12"/>
      <c r="O321" s="3"/>
      <c r="P321" s="3"/>
      <c r="Q321" s="84" t="s">
        <v>382</v>
      </c>
      <c r="R321" s="3"/>
      <c r="S321" s="488">
        <f t="shared" si="30"/>
        <v>0</v>
      </c>
      <c r="T321" s="8">
        <f t="shared" si="31"/>
        <v>0</v>
      </c>
      <c r="U321" s="61">
        <f>T321*係数!$H$30</f>
        <v>0</v>
      </c>
      <c r="V321" s="61">
        <f>T321*係数!$C$30*0.0000258</f>
        <v>0</v>
      </c>
      <c r="W321" s="8">
        <f t="shared" si="32"/>
        <v>0</v>
      </c>
      <c r="X321" s="272">
        <f t="shared" si="33"/>
        <v>0</v>
      </c>
      <c r="Y321" s="489">
        <f t="shared" si="34"/>
        <v>0</v>
      </c>
    </row>
    <row r="322" spans="2:25">
      <c r="B322" s="100" t="s">
        <v>648</v>
      </c>
      <c r="C322" s="12"/>
      <c r="D322" s="3"/>
      <c r="E322" s="77"/>
      <c r="F322" s="62"/>
      <c r="G322" s="62"/>
      <c r="H322" s="84" t="s">
        <v>382</v>
      </c>
      <c r="I322" s="3"/>
      <c r="J322" s="60">
        <f t="shared" si="35"/>
        <v>0</v>
      </c>
      <c r="K322" s="60">
        <f t="shared" si="29"/>
        <v>0</v>
      </c>
      <c r="L322" s="61">
        <f>K322*係数!$H$30</f>
        <v>0</v>
      </c>
      <c r="M322" s="61">
        <f>K322*係数!$C$30*0.0000258</f>
        <v>0</v>
      </c>
      <c r="N322" s="12"/>
      <c r="O322" s="3"/>
      <c r="P322" s="3"/>
      <c r="Q322" s="84" t="s">
        <v>382</v>
      </c>
      <c r="R322" s="3"/>
      <c r="S322" s="488">
        <f t="shared" si="30"/>
        <v>0</v>
      </c>
      <c r="T322" s="8">
        <f t="shared" si="31"/>
        <v>0</v>
      </c>
      <c r="U322" s="61">
        <f>T322*係数!$H$30</f>
        <v>0</v>
      </c>
      <c r="V322" s="61">
        <f>T322*係数!$C$30*0.0000258</f>
        <v>0</v>
      </c>
      <c r="W322" s="8">
        <f t="shared" si="32"/>
        <v>0</v>
      </c>
      <c r="X322" s="272">
        <f t="shared" si="33"/>
        <v>0</v>
      </c>
      <c r="Y322" s="489">
        <f t="shared" si="34"/>
        <v>0</v>
      </c>
    </row>
    <row r="323" spans="2:25">
      <c r="B323" s="100" t="s">
        <v>649</v>
      </c>
      <c r="C323" s="12"/>
      <c r="D323" s="3"/>
      <c r="E323" s="77"/>
      <c r="F323" s="62"/>
      <c r="G323" s="62"/>
      <c r="H323" s="84" t="s">
        <v>382</v>
      </c>
      <c r="I323" s="3"/>
      <c r="J323" s="60">
        <f t="shared" si="35"/>
        <v>0</v>
      </c>
      <c r="K323" s="60">
        <f t="shared" si="29"/>
        <v>0</v>
      </c>
      <c r="L323" s="61">
        <f>K323*係数!$H$30</f>
        <v>0</v>
      </c>
      <c r="M323" s="61">
        <f>K323*係数!$C$30*0.0000258</f>
        <v>0</v>
      </c>
      <c r="N323" s="12"/>
      <c r="O323" s="3"/>
      <c r="P323" s="3"/>
      <c r="Q323" s="84" t="s">
        <v>382</v>
      </c>
      <c r="R323" s="3"/>
      <c r="S323" s="488">
        <f t="shared" si="30"/>
        <v>0</v>
      </c>
      <c r="T323" s="8">
        <f t="shared" si="31"/>
        <v>0</v>
      </c>
      <c r="U323" s="61">
        <f>T323*係数!$H$30</f>
        <v>0</v>
      </c>
      <c r="V323" s="61">
        <f>T323*係数!$C$30*0.0000258</f>
        <v>0</v>
      </c>
      <c r="W323" s="8">
        <f t="shared" si="32"/>
        <v>0</v>
      </c>
      <c r="X323" s="272">
        <f t="shared" si="33"/>
        <v>0</v>
      </c>
      <c r="Y323" s="489">
        <f t="shared" si="34"/>
        <v>0</v>
      </c>
    </row>
    <row r="324" spans="2:25">
      <c r="B324" s="100" t="s">
        <v>650</v>
      </c>
      <c r="C324" s="12"/>
      <c r="D324" s="3"/>
      <c r="E324" s="77"/>
      <c r="F324" s="62"/>
      <c r="G324" s="62"/>
      <c r="H324" s="84" t="s">
        <v>382</v>
      </c>
      <c r="I324" s="3"/>
      <c r="J324" s="60">
        <f t="shared" si="35"/>
        <v>0</v>
      </c>
      <c r="K324" s="60">
        <f t="shared" si="29"/>
        <v>0</v>
      </c>
      <c r="L324" s="61">
        <f>K324*係数!$H$30</f>
        <v>0</v>
      </c>
      <c r="M324" s="61">
        <f>K324*係数!$C$30*0.0000258</f>
        <v>0</v>
      </c>
      <c r="N324" s="12"/>
      <c r="O324" s="3"/>
      <c r="P324" s="3"/>
      <c r="Q324" s="84" t="s">
        <v>382</v>
      </c>
      <c r="R324" s="3"/>
      <c r="S324" s="488">
        <f t="shared" si="30"/>
        <v>0</v>
      </c>
      <c r="T324" s="8">
        <f t="shared" si="31"/>
        <v>0</v>
      </c>
      <c r="U324" s="61">
        <f>T324*係数!$H$30</f>
        <v>0</v>
      </c>
      <c r="V324" s="61">
        <f>T324*係数!$C$30*0.0000258</f>
        <v>0</v>
      </c>
      <c r="W324" s="8">
        <f t="shared" si="32"/>
        <v>0</v>
      </c>
      <c r="X324" s="272">
        <f t="shared" si="33"/>
        <v>0</v>
      </c>
      <c r="Y324" s="489">
        <f t="shared" si="34"/>
        <v>0</v>
      </c>
    </row>
    <row r="325" spans="2:25">
      <c r="B325" s="100" t="s">
        <v>651</v>
      </c>
      <c r="C325" s="12"/>
      <c r="D325" s="3"/>
      <c r="E325" s="77"/>
      <c r="F325" s="62"/>
      <c r="G325" s="62"/>
      <c r="H325" s="84" t="s">
        <v>382</v>
      </c>
      <c r="I325" s="3"/>
      <c r="J325" s="60">
        <f t="shared" si="35"/>
        <v>0</v>
      </c>
      <c r="K325" s="60">
        <f t="shared" si="29"/>
        <v>0</v>
      </c>
      <c r="L325" s="61">
        <f>K325*係数!$H$30</f>
        <v>0</v>
      </c>
      <c r="M325" s="61">
        <f>K325*係数!$C$30*0.0000258</f>
        <v>0</v>
      </c>
      <c r="N325" s="12"/>
      <c r="O325" s="3"/>
      <c r="P325" s="3"/>
      <c r="Q325" s="84" t="s">
        <v>382</v>
      </c>
      <c r="R325" s="3"/>
      <c r="S325" s="488">
        <f t="shared" si="30"/>
        <v>0</v>
      </c>
      <c r="T325" s="8">
        <f t="shared" si="31"/>
        <v>0</v>
      </c>
      <c r="U325" s="61">
        <f>T325*係数!$H$30</f>
        <v>0</v>
      </c>
      <c r="V325" s="61">
        <f>T325*係数!$C$30*0.0000258</f>
        <v>0</v>
      </c>
      <c r="W325" s="8">
        <f t="shared" si="32"/>
        <v>0</v>
      </c>
      <c r="X325" s="272">
        <f t="shared" si="33"/>
        <v>0</v>
      </c>
      <c r="Y325" s="489">
        <f t="shared" si="34"/>
        <v>0</v>
      </c>
    </row>
    <row r="326" spans="2:25">
      <c r="B326" s="100" t="s">
        <v>652</v>
      </c>
      <c r="C326" s="12"/>
      <c r="D326" s="3"/>
      <c r="E326" s="77"/>
      <c r="F326" s="62"/>
      <c r="G326" s="62"/>
      <c r="H326" s="84" t="s">
        <v>382</v>
      </c>
      <c r="I326" s="3"/>
      <c r="J326" s="60">
        <f t="shared" si="35"/>
        <v>0</v>
      </c>
      <c r="K326" s="60">
        <f t="shared" si="29"/>
        <v>0</v>
      </c>
      <c r="L326" s="61">
        <f>K326*係数!$H$30</f>
        <v>0</v>
      </c>
      <c r="M326" s="61">
        <f>K326*係数!$C$30*0.0000258</f>
        <v>0</v>
      </c>
      <c r="N326" s="12"/>
      <c r="O326" s="3"/>
      <c r="P326" s="3"/>
      <c r="Q326" s="84" t="s">
        <v>382</v>
      </c>
      <c r="R326" s="3"/>
      <c r="S326" s="488">
        <f t="shared" si="30"/>
        <v>0</v>
      </c>
      <c r="T326" s="8">
        <f t="shared" si="31"/>
        <v>0</v>
      </c>
      <c r="U326" s="61">
        <f>T326*係数!$H$30</f>
        <v>0</v>
      </c>
      <c r="V326" s="61">
        <f>T326*係数!$C$30*0.0000258</f>
        <v>0</v>
      </c>
      <c r="W326" s="8">
        <f t="shared" si="32"/>
        <v>0</v>
      </c>
      <c r="X326" s="272">
        <f t="shared" si="33"/>
        <v>0</v>
      </c>
      <c r="Y326" s="489">
        <f t="shared" si="34"/>
        <v>0</v>
      </c>
    </row>
    <row r="327" spans="2:25">
      <c r="B327" s="100" t="s">
        <v>653</v>
      </c>
      <c r="C327" s="12"/>
      <c r="D327" s="3"/>
      <c r="E327" s="77"/>
      <c r="F327" s="62"/>
      <c r="G327" s="62"/>
      <c r="H327" s="84" t="s">
        <v>382</v>
      </c>
      <c r="I327" s="3"/>
      <c r="J327" s="60">
        <f t="shared" si="35"/>
        <v>0</v>
      </c>
      <c r="K327" s="60">
        <f t="shared" si="29"/>
        <v>0</v>
      </c>
      <c r="L327" s="61">
        <f>K327*係数!$H$30</f>
        <v>0</v>
      </c>
      <c r="M327" s="61">
        <f>K327*係数!$C$30*0.0000258</f>
        <v>0</v>
      </c>
      <c r="N327" s="12"/>
      <c r="O327" s="3"/>
      <c r="P327" s="3"/>
      <c r="Q327" s="84" t="s">
        <v>382</v>
      </c>
      <c r="R327" s="3"/>
      <c r="S327" s="488">
        <f t="shared" si="30"/>
        <v>0</v>
      </c>
      <c r="T327" s="8">
        <f t="shared" si="31"/>
        <v>0</v>
      </c>
      <c r="U327" s="61">
        <f>T327*係数!$H$30</f>
        <v>0</v>
      </c>
      <c r="V327" s="61">
        <f>T327*係数!$C$30*0.0000258</f>
        <v>0</v>
      </c>
      <c r="W327" s="8">
        <f t="shared" si="32"/>
        <v>0</v>
      </c>
      <c r="X327" s="272">
        <f t="shared" si="33"/>
        <v>0</v>
      </c>
      <c r="Y327" s="489">
        <f t="shared" si="34"/>
        <v>0</v>
      </c>
    </row>
    <row r="328" spans="2:25">
      <c r="B328" s="100" t="s">
        <v>654</v>
      </c>
      <c r="C328" s="12"/>
      <c r="D328" s="3"/>
      <c r="E328" s="77"/>
      <c r="F328" s="62"/>
      <c r="G328" s="62"/>
      <c r="H328" s="84" t="s">
        <v>382</v>
      </c>
      <c r="I328" s="3"/>
      <c r="J328" s="60">
        <f t="shared" si="35"/>
        <v>0</v>
      </c>
      <c r="K328" s="60">
        <f t="shared" si="29"/>
        <v>0</v>
      </c>
      <c r="L328" s="61">
        <f>K328*係数!$H$30</f>
        <v>0</v>
      </c>
      <c r="M328" s="61">
        <f>K328*係数!$C$30*0.0000258</f>
        <v>0</v>
      </c>
      <c r="N328" s="12"/>
      <c r="O328" s="3"/>
      <c r="P328" s="3"/>
      <c r="Q328" s="84" t="s">
        <v>382</v>
      </c>
      <c r="R328" s="3"/>
      <c r="S328" s="488">
        <f t="shared" si="30"/>
        <v>0</v>
      </c>
      <c r="T328" s="8">
        <f t="shared" si="31"/>
        <v>0</v>
      </c>
      <c r="U328" s="61">
        <f>T328*係数!$H$30</f>
        <v>0</v>
      </c>
      <c r="V328" s="61">
        <f>T328*係数!$C$30*0.0000258</f>
        <v>0</v>
      </c>
      <c r="W328" s="8">
        <f t="shared" si="32"/>
        <v>0</v>
      </c>
      <c r="X328" s="272">
        <f t="shared" si="33"/>
        <v>0</v>
      </c>
      <c r="Y328" s="489">
        <f t="shared" si="34"/>
        <v>0</v>
      </c>
    </row>
    <row r="329" spans="2:25">
      <c r="B329" s="100" t="s">
        <v>655</v>
      </c>
      <c r="C329" s="12"/>
      <c r="D329" s="3"/>
      <c r="E329" s="77"/>
      <c r="F329" s="62"/>
      <c r="G329" s="62"/>
      <c r="H329" s="84" t="s">
        <v>382</v>
      </c>
      <c r="I329" s="3"/>
      <c r="J329" s="60">
        <f t="shared" si="35"/>
        <v>0</v>
      </c>
      <c r="K329" s="60">
        <f t="shared" si="29"/>
        <v>0</v>
      </c>
      <c r="L329" s="61">
        <f>K329*係数!$H$30</f>
        <v>0</v>
      </c>
      <c r="M329" s="61">
        <f>K329*係数!$C$30*0.0000258</f>
        <v>0</v>
      </c>
      <c r="N329" s="12"/>
      <c r="O329" s="3"/>
      <c r="P329" s="3"/>
      <c r="Q329" s="84" t="s">
        <v>382</v>
      </c>
      <c r="R329" s="3"/>
      <c r="S329" s="488">
        <f t="shared" si="30"/>
        <v>0</v>
      </c>
      <c r="T329" s="8">
        <f t="shared" si="31"/>
        <v>0</v>
      </c>
      <c r="U329" s="61">
        <f>T329*係数!$H$30</f>
        <v>0</v>
      </c>
      <c r="V329" s="61">
        <f>T329*係数!$C$30*0.0000258</f>
        <v>0</v>
      </c>
      <c r="W329" s="8">
        <f t="shared" si="32"/>
        <v>0</v>
      </c>
      <c r="X329" s="272">
        <f t="shared" si="33"/>
        <v>0</v>
      </c>
      <c r="Y329" s="489">
        <f t="shared" si="34"/>
        <v>0</v>
      </c>
    </row>
    <row r="330" spans="2:25">
      <c r="B330" s="100" t="s">
        <v>656</v>
      </c>
      <c r="C330" s="12"/>
      <c r="D330" s="3"/>
      <c r="E330" s="77"/>
      <c r="F330" s="62"/>
      <c r="G330" s="62"/>
      <c r="H330" s="84" t="s">
        <v>382</v>
      </c>
      <c r="I330" s="3"/>
      <c r="J330" s="60">
        <f t="shared" si="35"/>
        <v>0</v>
      </c>
      <c r="K330" s="60">
        <f t="shared" si="29"/>
        <v>0</v>
      </c>
      <c r="L330" s="61">
        <f>K330*係数!$H$30</f>
        <v>0</v>
      </c>
      <c r="M330" s="61">
        <f>K330*係数!$C$30*0.0000258</f>
        <v>0</v>
      </c>
      <c r="N330" s="12"/>
      <c r="O330" s="3"/>
      <c r="P330" s="3"/>
      <c r="Q330" s="84" t="s">
        <v>382</v>
      </c>
      <c r="R330" s="3"/>
      <c r="S330" s="488">
        <f t="shared" si="30"/>
        <v>0</v>
      </c>
      <c r="T330" s="8">
        <f t="shared" si="31"/>
        <v>0</v>
      </c>
      <c r="U330" s="61">
        <f>T330*係数!$H$30</f>
        <v>0</v>
      </c>
      <c r="V330" s="61">
        <f>T330*係数!$C$30*0.0000258</f>
        <v>0</v>
      </c>
      <c r="W330" s="8">
        <f t="shared" si="32"/>
        <v>0</v>
      </c>
      <c r="X330" s="272">
        <f t="shared" si="33"/>
        <v>0</v>
      </c>
      <c r="Y330" s="489">
        <f t="shared" si="34"/>
        <v>0</v>
      </c>
    </row>
    <row r="331" spans="2:25">
      <c r="B331" s="100" t="s">
        <v>657</v>
      </c>
      <c r="C331" s="12"/>
      <c r="D331" s="3"/>
      <c r="E331" s="77"/>
      <c r="F331" s="62"/>
      <c r="G331" s="62"/>
      <c r="H331" s="84" t="s">
        <v>382</v>
      </c>
      <c r="I331" s="3"/>
      <c r="J331" s="60">
        <f t="shared" si="35"/>
        <v>0</v>
      </c>
      <c r="K331" s="60">
        <f t="shared" si="29"/>
        <v>0</v>
      </c>
      <c r="L331" s="61">
        <f>K331*係数!$H$30</f>
        <v>0</v>
      </c>
      <c r="M331" s="61">
        <f>K331*係数!$C$30*0.0000258</f>
        <v>0</v>
      </c>
      <c r="N331" s="12"/>
      <c r="O331" s="3"/>
      <c r="P331" s="3"/>
      <c r="Q331" s="84" t="s">
        <v>382</v>
      </c>
      <c r="R331" s="3"/>
      <c r="S331" s="488">
        <f t="shared" si="30"/>
        <v>0</v>
      </c>
      <c r="T331" s="8">
        <f t="shared" si="31"/>
        <v>0</v>
      </c>
      <c r="U331" s="61">
        <f>T331*係数!$H$30</f>
        <v>0</v>
      </c>
      <c r="V331" s="61">
        <f>T331*係数!$C$30*0.0000258</f>
        <v>0</v>
      </c>
      <c r="W331" s="8">
        <f t="shared" si="32"/>
        <v>0</v>
      </c>
      <c r="X331" s="272">
        <f t="shared" si="33"/>
        <v>0</v>
      </c>
      <c r="Y331" s="489">
        <f t="shared" si="34"/>
        <v>0</v>
      </c>
    </row>
    <row r="332" spans="2:25">
      <c r="B332" s="100" t="s">
        <v>658</v>
      </c>
      <c r="C332" s="12"/>
      <c r="D332" s="3"/>
      <c r="E332" s="77"/>
      <c r="F332" s="62"/>
      <c r="G332" s="62"/>
      <c r="H332" s="84" t="s">
        <v>382</v>
      </c>
      <c r="I332" s="3"/>
      <c r="J332" s="60">
        <f t="shared" si="35"/>
        <v>0</v>
      </c>
      <c r="K332" s="60">
        <f t="shared" si="29"/>
        <v>0</v>
      </c>
      <c r="L332" s="61">
        <f>K332*係数!$H$30</f>
        <v>0</v>
      </c>
      <c r="M332" s="61">
        <f>K332*係数!$C$30*0.0000258</f>
        <v>0</v>
      </c>
      <c r="N332" s="12"/>
      <c r="O332" s="3"/>
      <c r="P332" s="3"/>
      <c r="Q332" s="84" t="s">
        <v>382</v>
      </c>
      <c r="R332" s="3"/>
      <c r="S332" s="488">
        <f t="shared" si="30"/>
        <v>0</v>
      </c>
      <c r="T332" s="8">
        <f t="shared" si="31"/>
        <v>0</v>
      </c>
      <c r="U332" s="61">
        <f>T332*係数!$H$30</f>
        <v>0</v>
      </c>
      <c r="V332" s="61">
        <f>T332*係数!$C$30*0.0000258</f>
        <v>0</v>
      </c>
      <c r="W332" s="8">
        <f t="shared" si="32"/>
        <v>0</v>
      </c>
      <c r="X332" s="272">
        <f t="shared" si="33"/>
        <v>0</v>
      </c>
      <c r="Y332" s="489">
        <f t="shared" si="34"/>
        <v>0</v>
      </c>
    </row>
    <row r="333" spans="2:25">
      <c r="B333" s="100" t="s">
        <v>659</v>
      </c>
      <c r="C333" s="12"/>
      <c r="D333" s="3"/>
      <c r="E333" s="77"/>
      <c r="F333" s="62"/>
      <c r="G333" s="62"/>
      <c r="H333" s="84" t="s">
        <v>382</v>
      </c>
      <c r="I333" s="3"/>
      <c r="J333" s="60">
        <f t="shared" si="35"/>
        <v>0</v>
      </c>
      <c r="K333" s="60">
        <f t="shared" si="29"/>
        <v>0</v>
      </c>
      <c r="L333" s="61">
        <f>K333*係数!$H$30</f>
        <v>0</v>
      </c>
      <c r="M333" s="61">
        <f>K333*係数!$C$30*0.0000258</f>
        <v>0</v>
      </c>
      <c r="N333" s="12"/>
      <c r="O333" s="3"/>
      <c r="P333" s="3"/>
      <c r="Q333" s="84" t="s">
        <v>382</v>
      </c>
      <c r="R333" s="3"/>
      <c r="S333" s="488">
        <f t="shared" si="30"/>
        <v>0</v>
      </c>
      <c r="T333" s="8">
        <f t="shared" si="31"/>
        <v>0</v>
      </c>
      <c r="U333" s="61">
        <f>T333*係数!$H$30</f>
        <v>0</v>
      </c>
      <c r="V333" s="61">
        <f>T333*係数!$C$30*0.0000258</f>
        <v>0</v>
      </c>
      <c r="W333" s="8">
        <f t="shared" si="32"/>
        <v>0</v>
      </c>
      <c r="X333" s="272">
        <f t="shared" si="33"/>
        <v>0</v>
      </c>
      <c r="Y333" s="489">
        <f t="shared" si="34"/>
        <v>0</v>
      </c>
    </row>
    <row r="334" spans="2:25">
      <c r="B334" s="100" t="s">
        <v>660</v>
      </c>
      <c r="C334" s="12"/>
      <c r="D334" s="3"/>
      <c r="E334" s="77"/>
      <c r="F334" s="62"/>
      <c r="G334" s="62"/>
      <c r="H334" s="84" t="s">
        <v>382</v>
      </c>
      <c r="I334" s="3"/>
      <c r="J334" s="60">
        <f t="shared" si="35"/>
        <v>0</v>
      </c>
      <c r="K334" s="60">
        <f t="shared" si="29"/>
        <v>0</v>
      </c>
      <c r="L334" s="61">
        <f>K334*係数!$H$30</f>
        <v>0</v>
      </c>
      <c r="M334" s="61">
        <f>K334*係数!$C$30*0.0000258</f>
        <v>0</v>
      </c>
      <c r="N334" s="12"/>
      <c r="O334" s="3"/>
      <c r="P334" s="3"/>
      <c r="Q334" s="84" t="s">
        <v>382</v>
      </c>
      <c r="R334" s="3"/>
      <c r="S334" s="488">
        <f t="shared" si="30"/>
        <v>0</v>
      </c>
      <c r="T334" s="8">
        <f t="shared" si="31"/>
        <v>0</v>
      </c>
      <c r="U334" s="61">
        <f>T334*係数!$H$30</f>
        <v>0</v>
      </c>
      <c r="V334" s="61">
        <f>T334*係数!$C$30*0.0000258</f>
        <v>0</v>
      </c>
      <c r="W334" s="8">
        <f t="shared" si="32"/>
        <v>0</v>
      </c>
      <c r="X334" s="272">
        <f t="shared" si="33"/>
        <v>0</v>
      </c>
      <c r="Y334" s="489">
        <f t="shared" si="34"/>
        <v>0</v>
      </c>
    </row>
    <row r="335" spans="2:25">
      <c r="B335" s="100" t="s">
        <v>661</v>
      </c>
      <c r="C335" s="12"/>
      <c r="D335" s="3"/>
      <c r="E335" s="77"/>
      <c r="F335" s="62"/>
      <c r="G335" s="62"/>
      <c r="H335" s="84" t="s">
        <v>382</v>
      </c>
      <c r="I335" s="3"/>
      <c r="J335" s="60">
        <f t="shared" si="35"/>
        <v>0</v>
      </c>
      <c r="K335" s="60">
        <f t="shared" si="29"/>
        <v>0</v>
      </c>
      <c r="L335" s="61">
        <f>K335*係数!$H$30</f>
        <v>0</v>
      </c>
      <c r="M335" s="61">
        <f>K335*係数!$C$30*0.0000258</f>
        <v>0</v>
      </c>
      <c r="N335" s="12"/>
      <c r="O335" s="3"/>
      <c r="P335" s="3"/>
      <c r="Q335" s="84" t="s">
        <v>382</v>
      </c>
      <c r="R335" s="3"/>
      <c r="S335" s="488">
        <f t="shared" si="30"/>
        <v>0</v>
      </c>
      <c r="T335" s="8">
        <f t="shared" si="31"/>
        <v>0</v>
      </c>
      <c r="U335" s="61">
        <f>T335*係数!$H$30</f>
        <v>0</v>
      </c>
      <c r="V335" s="61">
        <f>T335*係数!$C$30*0.0000258</f>
        <v>0</v>
      </c>
      <c r="W335" s="8">
        <f t="shared" si="32"/>
        <v>0</v>
      </c>
      <c r="X335" s="272">
        <f t="shared" si="33"/>
        <v>0</v>
      </c>
      <c r="Y335" s="489">
        <f t="shared" si="34"/>
        <v>0</v>
      </c>
    </row>
    <row r="336" spans="2:25">
      <c r="B336" s="100" t="s">
        <v>662</v>
      </c>
      <c r="C336" s="12"/>
      <c r="D336" s="3"/>
      <c r="E336" s="77"/>
      <c r="F336" s="62"/>
      <c r="G336" s="62"/>
      <c r="H336" s="84" t="s">
        <v>382</v>
      </c>
      <c r="I336" s="3"/>
      <c r="J336" s="60">
        <f t="shared" si="35"/>
        <v>0</v>
      </c>
      <c r="K336" s="60">
        <f t="shared" si="29"/>
        <v>0</v>
      </c>
      <c r="L336" s="61">
        <f>K336*係数!$H$30</f>
        <v>0</v>
      </c>
      <c r="M336" s="61">
        <f>K336*係数!$C$30*0.0000258</f>
        <v>0</v>
      </c>
      <c r="N336" s="12"/>
      <c r="O336" s="3"/>
      <c r="P336" s="3"/>
      <c r="Q336" s="84" t="s">
        <v>382</v>
      </c>
      <c r="R336" s="3"/>
      <c r="S336" s="488">
        <f t="shared" si="30"/>
        <v>0</v>
      </c>
      <c r="T336" s="8">
        <f t="shared" si="31"/>
        <v>0</v>
      </c>
      <c r="U336" s="61">
        <f>T336*係数!$H$30</f>
        <v>0</v>
      </c>
      <c r="V336" s="61">
        <f>T336*係数!$C$30*0.0000258</f>
        <v>0</v>
      </c>
      <c r="W336" s="8">
        <f t="shared" si="32"/>
        <v>0</v>
      </c>
      <c r="X336" s="272">
        <f t="shared" si="33"/>
        <v>0</v>
      </c>
      <c r="Y336" s="489">
        <f t="shared" si="34"/>
        <v>0</v>
      </c>
    </row>
    <row r="337" spans="2:25">
      <c r="B337" s="100" t="s">
        <v>663</v>
      </c>
      <c r="C337" s="12"/>
      <c r="D337" s="3"/>
      <c r="E337" s="77"/>
      <c r="F337" s="62"/>
      <c r="G337" s="62"/>
      <c r="H337" s="84" t="s">
        <v>382</v>
      </c>
      <c r="I337" s="3"/>
      <c r="J337" s="60">
        <f t="shared" si="35"/>
        <v>0</v>
      </c>
      <c r="K337" s="60">
        <f t="shared" si="29"/>
        <v>0</v>
      </c>
      <c r="L337" s="61">
        <f>K337*係数!$H$30</f>
        <v>0</v>
      </c>
      <c r="M337" s="61">
        <f>K337*係数!$C$30*0.0000258</f>
        <v>0</v>
      </c>
      <c r="N337" s="12"/>
      <c r="O337" s="3"/>
      <c r="P337" s="3"/>
      <c r="Q337" s="84" t="s">
        <v>382</v>
      </c>
      <c r="R337" s="3"/>
      <c r="S337" s="488">
        <f t="shared" si="30"/>
        <v>0</v>
      </c>
      <c r="T337" s="8">
        <f t="shared" si="31"/>
        <v>0</v>
      </c>
      <c r="U337" s="61">
        <f>T337*係数!$H$30</f>
        <v>0</v>
      </c>
      <c r="V337" s="61">
        <f>T337*係数!$C$30*0.0000258</f>
        <v>0</v>
      </c>
      <c r="W337" s="8">
        <f t="shared" si="32"/>
        <v>0</v>
      </c>
      <c r="X337" s="272">
        <f t="shared" si="33"/>
        <v>0</v>
      </c>
      <c r="Y337" s="489">
        <f t="shared" si="34"/>
        <v>0</v>
      </c>
    </row>
    <row r="338" spans="2:25">
      <c r="B338" s="100" t="s">
        <v>664</v>
      </c>
      <c r="C338" s="12"/>
      <c r="D338" s="3"/>
      <c r="E338" s="77"/>
      <c r="F338" s="62"/>
      <c r="G338" s="62"/>
      <c r="H338" s="84" t="s">
        <v>382</v>
      </c>
      <c r="I338" s="3"/>
      <c r="J338" s="60">
        <f t="shared" si="35"/>
        <v>0</v>
      </c>
      <c r="K338" s="60">
        <f t="shared" si="29"/>
        <v>0</v>
      </c>
      <c r="L338" s="61">
        <f>K338*係数!$H$30</f>
        <v>0</v>
      </c>
      <c r="M338" s="61">
        <f>K338*係数!$C$30*0.0000258</f>
        <v>0</v>
      </c>
      <c r="N338" s="12"/>
      <c r="O338" s="3"/>
      <c r="P338" s="3"/>
      <c r="Q338" s="84" t="s">
        <v>382</v>
      </c>
      <c r="R338" s="3"/>
      <c r="S338" s="488">
        <f t="shared" si="30"/>
        <v>0</v>
      </c>
      <c r="T338" s="8">
        <f t="shared" si="31"/>
        <v>0</v>
      </c>
      <c r="U338" s="61">
        <f>T338*係数!$H$30</f>
        <v>0</v>
      </c>
      <c r="V338" s="61">
        <f>T338*係数!$C$30*0.0000258</f>
        <v>0</v>
      </c>
      <c r="W338" s="8">
        <f t="shared" si="32"/>
        <v>0</v>
      </c>
      <c r="X338" s="272">
        <f t="shared" si="33"/>
        <v>0</v>
      </c>
      <c r="Y338" s="489">
        <f t="shared" si="34"/>
        <v>0</v>
      </c>
    </row>
    <row r="339" spans="2:25">
      <c r="B339" s="100" t="s">
        <v>665</v>
      </c>
      <c r="C339" s="12"/>
      <c r="D339" s="3"/>
      <c r="E339" s="77"/>
      <c r="F339" s="62"/>
      <c r="G339" s="62"/>
      <c r="H339" s="84" t="s">
        <v>382</v>
      </c>
      <c r="I339" s="3"/>
      <c r="J339" s="60">
        <f t="shared" si="35"/>
        <v>0</v>
      </c>
      <c r="K339" s="60">
        <f t="shared" si="29"/>
        <v>0</v>
      </c>
      <c r="L339" s="61">
        <f>K339*係数!$H$30</f>
        <v>0</v>
      </c>
      <c r="M339" s="61">
        <f>K339*係数!$C$30*0.0000258</f>
        <v>0</v>
      </c>
      <c r="N339" s="12"/>
      <c r="O339" s="3"/>
      <c r="P339" s="3"/>
      <c r="Q339" s="84" t="s">
        <v>382</v>
      </c>
      <c r="R339" s="3"/>
      <c r="S339" s="488">
        <f t="shared" si="30"/>
        <v>0</v>
      </c>
      <c r="T339" s="8">
        <f t="shared" si="31"/>
        <v>0</v>
      </c>
      <c r="U339" s="61">
        <f>T339*係数!$H$30</f>
        <v>0</v>
      </c>
      <c r="V339" s="61">
        <f>T339*係数!$C$30*0.0000258</f>
        <v>0</v>
      </c>
      <c r="W339" s="8">
        <f t="shared" si="32"/>
        <v>0</v>
      </c>
      <c r="X339" s="272">
        <f t="shared" si="33"/>
        <v>0</v>
      </c>
      <c r="Y339" s="489">
        <f t="shared" si="34"/>
        <v>0</v>
      </c>
    </row>
    <row r="340" spans="2:25">
      <c r="B340" s="100" t="s">
        <v>666</v>
      </c>
      <c r="C340" s="12"/>
      <c r="D340" s="3"/>
      <c r="E340" s="77"/>
      <c r="F340" s="62"/>
      <c r="G340" s="62"/>
      <c r="H340" s="84" t="s">
        <v>382</v>
      </c>
      <c r="I340" s="3"/>
      <c r="J340" s="60">
        <f t="shared" si="35"/>
        <v>0</v>
      </c>
      <c r="K340" s="60">
        <f t="shared" ref="K340:K403" si="36">E340*D340*J340/1000</f>
        <v>0</v>
      </c>
      <c r="L340" s="61">
        <f>K340*係数!$H$30</f>
        <v>0</v>
      </c>
      <c r="M340" s="61">
        <f>K340*係数!$C$30*0.0000258</f>
        <v>0</v>
      </c>
      <c r="N340" s="12"/>
      <c r="O340" s="3"/>
      <c r="P340" s="3"/>
      <c r="Q340" s="84" t="s">
        <v>382</v>
      </c>
      <c r="R340" s="3"/>
      <c r="S340" s="488">
        <f t="shared" ref="S340:S403" si="37">IF(Q340="○",F340*G340*R340/100,F340*G340)</f>
        <v>0</v>
      </c>
      <c r="T340" s="8">
        <f t="shared" ref="T340:T403" si="38">P340*O340*S340/1000</f>
        <v>0</v>
      </c>
      <c r="U340" s="61">
        <f>T340*係数!$H$30</f>
        <v>0</v>
      </c>
      <c r="V340" s="61">
        <f>T340*係数!$C$30*0.0000258</f>
        <v>0</v>
      </c>
      <c r="W340" s="8">
        <f t="shared" ref="W340:W403" si="39">K340-T340</f>
        <v>0</v>
      </c>
      <c r="X340" s="272">
        <f t="shared" ref="X340:X403" si="40">L340-U340</f>
        <v>0</v>
      </c>
      <c r="Y340" s="489">
        <f t="shared" ref="Y340:Y403" si="41">M340-V340</f>
        <v>0</v>
      </c>
    </row>
    <row r="341" spans="2:25">
      <c r="B341" s="100" t="s">
        <v>667</v>
      </c>
      <c r="C341" s="12"/>
      <c r="D341" s="3"/>
      <c r="E341" s="77"/>
      <c r="F341" s="62"/>
      <c r="G341" s="62"/>
      <c r="H341" s="84" t="s">
        <v>382</v>
      </c>
      <c r="I341" s="3"/>
      <c r="J341" s="60">
        <f t="shared" ref="J341:J404" si="42">IF(H341="○",F341*G341*I341/100,F341*G341)</f>
        <v>0</v>
      </c>
      <c r="K341" s="60">
        <f t="shared" si="36"/>
        <v>0</v>
      </c>
      <c r="L341" s="61">
        <f>K341*係数!$H$30</f>
        <v>0</v>
      </c>
      <c r="M341" s="61">
        <f>K341*係数!$C$30*0.0000258</f>
        <v>0</v>
      </c>
      <c r="N341" s="12"/>
      <c r="O341" s="3"/>
      <c r="P341" s="3"/>
      <c r="Q341" s="84" t="s">
        <v>382</v>
      </c>
      <c r="R341" s="3"/>
      <c r="S341" s="488">
        <f t="shared" si="37"/>
        <v>0</v>
      </c>
      <c r="T341" s="8">
        <f t="shared" si="38"/>
        <v>0</v>
      </c>
      <c r="U341" s="61">
        <f>T341*係数!$H$30</f>
        <v>0</v>
      </c>
      <c r="V341" s="61">
        <f>T341*係数!$C$30*0.0000258</f>
        <v>0</v>
      </c>
      <c r="W341" s="8">
        <f t="shared" si="39"/>
        <v>0</v>
      </c>
      <c r="X341" s="272">
        <f t="shared" si="40"/>
        <v>0</v>
      </c>
      <c r="Y341" s="489">
        <f t="shared" si="41"/>
        <v>0</v>
      </c>
    </row>
    <row r="342" spans="2:25">
      <c r="B342" s="100" t="s">
        <v>668</v>
      </c>
      <c r="C342" s="12"/>
      <c r="D342" s="3"/>
      <c r="E342" s="77"/>
      <c r="F342" s="62"/>
      <c r="G342" s="62"/>
      <c r="H342" s="84" t="s">
        <v>382</v>
      </c>
      <c r="I342" s="3"/>
      <c r="J342" s="60">
        <f t="shared" si="42"/>
        <v>0</v>
      </c>
      <c r="K342" s="60">
        <f t="shared" si="36"/>
        <v>0</v>
      </c>
      <c r="L342" s="61">
        <f>K342*係数!$H$30</f>
        <v>0</v>
      </c>
      <c r="M342" s="61">
        <f>K342*係数!$C$30*0.0000258</f>
        <v>0</v>
      </c>
      <c r="N342" s="12"/>
      <c r="O342" s="3"/>
      <c r="P342" s="3"/>
      <c r="Q342" s="84" t="s">
        <v>382</v>
      </c>
      <c r="R342" s="3"/>
      <c r="S342" s="488">
        <f t="shared" si="37"/>
        <v>0</v>
      </c>
      <c r="T342" s="8">
        <f t="shared" si="38"/>
        <v>0</v>
      </c>
      <c r="U342" s="61">
        <f>T342*係数!$H$30</f>
        <v>0</v>
      </c>
      <c r="V342" s="61">
        <f>T342*係数!$C$30*0.0000258</f>
        <v>0</v>
      </c>
      <c r="W342" s="8">
        <f t="shared" si="39"/>
        <v>0</v>
      </c>
      <c r="X342" s="272">
        <f t="shared" si="40"/>
        <v>0</v>
      </c>
      <c r="Y342" s="489">
        <f t="shared" si="41"/>
        <v>0</v>
      </c>
    </row>
    <row r="343" spans="2:25">
      <c r="B343" s="100" t="s">
        <v>669</v>
      </c>
      <c r="C343" s="12"/>
      <c r="D343" s="3"/>
      <c r="E343" s="77"/>
      <c r="F343" s="62"/>
      <c r="G343" s="62"/>
      <c r="H343" s="84" t="s">
        <v>382</v>
      </c>
      <c r="I343" s="3"/>
      <c r="J343" s="60">
        <f t="shared" si="42"/>
        <v>0</v>
      </c>
      <c r="K343" s="60">
        <f t="shared" si="36"/>
        <v>0</v>
      </c>
      <c r="L343" s="61">
        <f>K343*係数!$H$30</f>
        <v>0</v>
      </c>
      <c r="M343" s="61">
        <f>K343*係数!$C$30*0.0000258</f>
        <v>0</v>
      </c>
      <c r="N343" s="12"/>
      <c r="O343" s="3"/>
      <c r="P343" s="3"/>
      <c r="Q343" s="84" t="s">
        <v>382</v>
      </c>
      <c r="R343" s="3"/>
      <c r="S343" s="488">
        <f t="shared" si="37"/>
        <v>0</v>
      </c>
      <c r="T343" s="8">
        <f t="shared" si="38"/>
        <v>0</v>
      </c>
      <c r="U343" s="61">
        <f>T343*係数!$H$30</f>
        <v>0</v>
      </c>
      <c r="V343" s="61">
        <f>T343*係数!$C$30*0.0000258</f>
        <v>0</v>
      </c>
      <c r="W343" s="8">
        <f t="shared" si="39"/>
        <v>0</v>
      </c>
      <c r="X343" s="272">
        <f t="shared" si="40"/>
        <v>0</v>
      </c>
      <c r="Y343" s="489">
        <f t="shared" si="41"/>
        <v>0</v>
      </c>
    </row>
    <row r="344" spans="2:25">
      <c r="B344" s="100" t="s">
        <v>670</v>
      </c>
      <c r="C344" s="12"/>
      <c r="D344" s="3"/>
      <c r="E344" s="77"/>
      <c r="F344" s="62"/>
      <c r="G344" s="62"/>
      <c r="H344" s="84" t="s">
        <v>382</v>
      </c>
      <c r="I344" s="3"/>
      <c r="J344" s="60">
        <f t="shared" si="42"/>
        <v>0</v>
      </c>
      <c r="K344" s="60">
        <f t="shared" si="36"/>
        <v>0</v>
      </c>
      <c r="L344" s="61">
        <f>K344*係数!$H$30</f>
        <v>0</v>
      </c>
      <c r="M344" s="61">
        <f>K344*係数!$C$30*0.0000258</f>
        <v>0</v>
      </c>
      <c r="N344" s="12"/>
      <c r="O344" s="3"/>
      <c r="P344" s="3"/>
      <c r="Q344" s="84" t="s">
        <v>382</v>
      </c>
      <c r="R344" s="3"/>
      <c r="S344" s="488">
        <f t="shared" si="37"/>
        <v>0</v>
      </c>
      <c r="T344" s="8">
        <f t="shared" si="38"/>
        <v>0</v>
      </c>
      <c r="U344" s="61">
        <f>T344*係数!$H$30</f>
        <v>0</v>
      </c>
      <c r="V344" s="61">
        <f>T344*係数!$C$30*0.0000258</f>
        <v>0</v>
      </c>
      <c r="W344" s="8">
        <f t="shared" si="39"/>
        <v>0</v>
      </c>
      <c r="X344" s="272">
        <f t="shared" si="40"/>
        <v>0</v>
      </c>
      <c r="Y344" s="489">
        <f t="shared" si="41"/>
        <v>0</v>
      </c>
    </row>
    <row r="345" spans="2:25">
      <c r="B345" s="100" t="s">
        <v>671</v>
      </c>
      <c r="C345" s="12"/>
      <c r="D345" s="3"/>
      <c r="E345" s="77"/>
      <c r="F345" s="62"/>
      <c r="G345" s="62"/>
      <c r="H345" s="84" t="s">
        <v>382</v>
      </c>
      <c r="I345" s="3"/>
      <c r="J345" s="60">
        <f t="shared" si="42"/>
        <v>0</v>
      </c>
      <c r="K345" s="60">
        <f t="shared" si="36"/>
        <v>0</v>
      </c>
      <c r="L345" s="61">
        <f>K345*係数!$H$30</f>
        <v>0</v>
      </c>
      <c r="M345" s="61">
        <f>K345*係数!$C$30*0.0000258</f>
        <v>0</v>
      </c>
      <c r="N345" s="12"/>
      <c r="O345" s="3"/>
      <c r="P345" s="3"/>
      <c r="Q345" s="84" t="s">
        <v>382</v>
      </c>
      <c r="R345" s="3"/>
      <c r="S345" s="488">
        <f t="shared" si="37"/>
        <v>0</v>
      </c>
      <c r="T345" s="8">
        <f t="shared" si="38"/>
        <v>0</v>
      </c>
      <c r="U345" s="61">
        <f>T345*係数!$H$30</f>
        <v>0</v>
      </c>
      <c r="V345" s="61">
        <f>T345*係数!$C$30*0.0000258</f>
        <v>0</v>
      </c>
      <c r="W345" s="8">
        <f t="shared" si="39"/>
        <v>0</v>
      </c>
      <c r="X345" s="272">
        <f t="shared" si="40"/>
        <v>0</v>
      </c>
      <c r="Y345" s="489">
        <f t="shared" si="41"/>
        <v>0</v>
      </c>
    </row>
    <row r="346" spans="2:25">
      <c r="B346" s="100" t="s">
        <v>672</v>
      </c>
      <c r="C346" s="12"/>
      <c r="D346" s="3"/>
      <c r="E346" s="77"/>
      <c r="F346" s="62"/>
      <c r="G346" s="62"/>
      <c r="H346" s="84" t="s">
        <v>382</v>
      </c>
      <c r="I346" s="3"/>
      <c r="J346" s="60">
        <f t="shared" si="42"/>
        <v>0</v>
      </c>
      <c r="K346" s="60">
        <f t="shared" si="36"/>
        <v>0</v>
      </c>
      <c r="L346" s="61">
        <f>K346*係数!$H$30</f>
        <v>0</v>
      </c>
      <c r="M346" s="61">
        <f>K346*係数!$C$30*0.0000258</f>
        <v>0</v>
      </c>
      <c r="N346" s="12"/>
      <c r="O346" s="3"/>
      <c r="P346" s="3"/>
      <c r="Q346" s="84" t="s">
        <v>382</v>
      </c>
      <c r="R346" s="3"/>
      <c r="S346" s="488">
        <f t="shared" si="37"/>
        <v>0</v>
      </c>
      <c r="T346" s="8">
        <f t="shared" si="38"/>
        <v>0</v>
      </c>
      <c r="U346" s="61">
        <f>T346*係数!$H$30</f>
        <v>0</v>
      </c>
      <c r="V346" s="61">
        <f>T346*係数!$C$30*0.0000258</f>
        <v>0</v>
      </c>
      <c r="W346" s="8">
        <f t="shared" si="39"/>
        <v>0</v>
      </c>
      <c r="X346" s="272">
        <f t="shared" si="40"/>
        <v>0</v>
      </c>
      <c r="Y346" s="489">
        <f t="shared" si="41"/>
        <v>0</v>
      </c>
    </row>
    <row r="347" spans="2:25">
      <c r="B347" s="100" t="s">
        <v>673</v>
      </c>
      <c r="C347" s="12"/>
      <c r="D347" s="3"/>
      <c r="E347" s="77"/>
      <c r="F347" s="62"/>
      <c r="G347" s="62"/>
      <c r="H347" s="84" t="s">
        <v>382</v>
      </c>
      <c r="I347" s="3"/>
      <c r="J347" s="60">
        <f t="shared" si="42"/>
        <v>0</v>
      </c>
      <c r="K347" s="60">
        <f t="shared" si="36"/>
        <v>0</v>
      </c>
      <c r="L347" s="61">
        <f>K347*係数!$H$30</f>
        <v>0</v>
      </c>
      <c r="M347" s="61">
        <f>K347*係数!$C$30*0.0000258</f>
        <v>0</v>
      </c>
      <c r="N347" s="12"/>
      <c r="O347" s="3"/>
      <c r="P347" s="3"/>
      <c r="Q347" s="84" t="s">
        <v>382</v>
      </c>
      <c r="R347" s="3"/>
      <c r="S347" s="488">
        <f t="shared" si="37"/>
        <v>0</v>
      </c>
      <c r="T347" s="8">
        <f t="shared" si="38"/>
        <v>0</v>
      </c>
      <c r="U347" s="61">
        <f>T347*係数!$H$30</f>
        <v>0</v>
      </c>
      <c r="V347" s="61">
        <f>T347*係数!$C$30*0.0000258</f>
        <v>0</v>
      </c>
      <c r="W347" s="8">
        <f t="shared" si="39"/>
        <v>0</v>
      </c>
      <c r="X347" s="272">
        <f t="shared" si="40"/>
        <v>0</v>
      </c>
      <c r="Y347" s="489">
        <f t="shared" si="41"/>
        <v>0</v>
      </c>
    </row>
    <row r="348" spans="2:25">
      <c r="B348" s="100" t="s">
        <v>674</v>
      </c>
      <c r="C348" s="12"/>
      <c r="D348" s="3"/>
      <c r="E348" s="77"/>
      <c r="F348" s="62"/>
      <c r="G348" s="62"/>
      <c r="H348" s="84" t="s">
        <v>382</v>
      </c>
      <c r="I348" s="3"/>
      <c r="J348" s="60">
        <f t="shared" si="42"/>
        <v>0</v>
      </c>
      <c r="K348" s="60">
        <f t="shared" si="36"/>
        <v>0</v>
      </c>
      <c r="L348" s="61">
        <f>K348*係数!$H$30</f>
        <v>0</v>
      </c>
      <c r="M348" s="61">
        <f>K348*係数!$C$30*0.0000258</f>
        <v>0</v>
      </c>
      <c r="N348" s="12"/>
      <c r="O348" s="3"/>
      <c r="P348" s="3"/>
      <c r="Q348" s="84" t="s">
        <v>382</v>
      </c>
      <c r="R348" s="3"/>
      <c r="S348" s="488">
        <f t="shared" si="37"/>
        <v>0</v>
      </c>
      <c r="T348" s="8">
        <f t="shared" si="38"/>
        <v>0</v>
      </c>
      <c r="U348" s="61">
        <f>T348*係数!$H$30</f>
        <v>0</v>
      </c>
      <c r="V348" s="61">
        <f>T348*係数!$C$30*0.0000258</f>
        <v>0</v>
      </c>
      <c r="W348" s="8">
        <f t="shared" si="39"/>
        <v>0</v>
      </c>
      <c r="X348" s="272">
        <f t="shared" si="40"/>
        <v>0</v>
      </c>
      <c r="Y348" s="489">
        <f t="shared" si="41"/>
        <v>0</v>
      </c>
    </row>
    <row r="349" spans="2:25">
      <c r="B349" s="100" t="s">
        <v>675</v>
      </c>
      <c r="C349" s="12"/>
      <c r="D349" s="3"/>
      <c r="E349" s="77"/>
      <c r="F349" s="62"/>
      <c r="G349" s="62"/>
      <c r="H349" s="84" t="s">
        <v>382</v>
      </c>
      <c r="I349" s="3"/>
      <c r="J349" s="60">
        <f t="shared" si="42"/>
        <v>0</v>
      </c>
      <c r="K349" s="60">
        <f t="shared" si="36"/>
        <v>0</v>
      </c>
      <c r="L349" s="61">
        <f>K349*係数!$H$30</f>
        <v>0</v>
      </c>
      <c r="M349" s="61">
        <f>K349*係数!$C$30*0.0000258</f>
        <v>0</v>
      </c>
      <c r="N349" s="12"/>
      <c r="O349" s="3"/>
      <c r="P349" s="3"/>
      <c r="Q349" s="84" t="s">
        <v>382</v>
      </c>
      <c r="R349" s="3"/>
      <c r="S349" s="488">
        <f t="shared" si="37"/>
        <v>0</v>
      </c>
      <c r="T349" s="8">
        <f t="shared" si="38"/>
        <v>0</v>
      </c>
      <c r="U349" s="61">
        <f>T349*係数!$H$30</f>
        <v>0</v>
      </c>
      <c r="V349" s="61">
        <f>T349*係数!$C$30*0.0000258</f>
        <v>0</v>
      </c>
      <c r="W349" s="8">
        <f t="shared" si="39"/>
        <v>0</v>
      </c>
      <c r="X349" s="272">
        <f t="shared" si="40"/>
        <v>0</v>
      </c>
      <c r="Y349" s="489">
        <f t="shared" si="41"/>
        <v>0</v>
      </c>
    </row>
    <row r="350" spans="2:25">
      <c r="B350" s="100" t="s">
        <v>676</v>
      </c>
      <c r="C350" s="12"/>
      <c r="D350" s="3"/>
      <c r="E350" s="77"/>
      <c r="F350" s="62"/>
      <c r="G350" s="62"/>
      <c r="H350" s="84" t="s">
        <v>382</v>
      </c>
      <c r="I350" s="3"/>
      <c r="J350" s="60">
        <f t="shared" si="42"/>
        <v>0</v>
      </c>
      <c r="K350" s="60">
        <f t="shared" si="36"/>
        <v>0</v>
      </c>
      <c r="L350" s="61">
        <f>K350*係数!$H$30</f>
        <v>0</v>
      </c>
      <c r="M350" s="61">
        <f>K350*係数!$C$30*0.0000258</f>
        <v>0</v>
      </c>
      <c r="N350" s="12"/>
      <c r="O350" s="3"/>
      <c r="P350" s="3"/>
      <c r="Q350" s="84" t="s">
        <v>382</v>
      </c>
      <c r="R350" s="3"/>
      <c r="S350" s="488">
        <f t="shared" si="37"/>
        <v>0</v>
      </c>
      <c r="T350" s="8">
        <f t="shared" si="38"/>
        <v>0</v>
      </c>
      <c r="U350" s="61">
        <f>T350*係数!$H$30</f>
        <v>0</v>
      </c>
      <c r="V350" s="61">
        <f>T350*係数!$C$30*0.0000258</f>
        <v>0</v>
      </c>
      <c r="W350" s="8">
        <f t="shared" si="39"/>
        <v>0</v>
      </c>
      <c r="X350" s="272">
        <f t="shared" si="40"/>
        <v>0</v>
      </c>
      <c r="Y350" s="489">
        <f t="shared" si="41"/>
        <v>0</v>
      </c>
    </row>
    <row r="351" spans="2:25">
      <c r="B351" s="100" t="s">
        <v>677</v>
      </c>
      <c r="C351" s="12"/>
      <c r="D351" s="3"/>
      <c r="E351" s="77"/>
      <c r="F351" s="62"/>
      <c r="G351" s="62"/>
      <c r="H351" s="84" t="s">
        <v>382</v>
      </c>
      <c r="I351" s="3"/>
      <c r="J351" s="60">
        <f t="shared" si="42"/>
        <v>0</v>
      </c>
      <c r="K351" s="60">
        <f t="shared" si="36"/>
        <v>0</v>
      </c>
      <c r="L351" s="61">
        <f>K351*係数!$H$30</f>
        <v>0</v>
      </c>
      <c r="M351" s="61">
        <f>K351*係数!$C$30*0.0000258</f>
        <v>0</v>
      </c>
      <c r="N351" s="12"/>
      <c r="O351" s="3"/>
      <c r="P351" s="3"/>
      <c r="Q351" s="84" t="s">
        <v>382</v>
      </c>
      <c r="R351" s="3"/>
      <c r="S351" s="488">
        <f t="shared" si="37"/>
        <v>0</v>
      </c>
      <c r="T351" s="8">
        <f t="shared" si="38"/>
        <v>0</v>
      </c>
      <c r="U351" s="61">
        <f>T351*係数!$H$30</f>
        <v>0</v>
      </c>
      <c r="V351" s="61">
        <f>T351*係数!$C$30*0.0000258</f>
        <v>0</v>
      </c>
      <c r="W351" s="8">
        <f t="shared" si="39"/>
        <v>0</v>
      </c>
      <c r="X351" s="272">
        <f t="shared" si="40"/>
        <v>0</v>
      </c>
      <c r="Y351" s="489">
        <f t="shared" si="41"/>
        <v>0</v>
      </c>
    </row>
    <row r="352" spans="2:25">
      <c r="B352" s="100" t="s">
        <v>678</v>
      </c>
      <c r="C352" s="12"/>
      <c r="D352" s="3"/>
      <c r="E352" s="77"/>
      <c r="F352" s="62"/>
      <c r="G352" s="62"/>
      <c r="H352" s="84" t="s">
        <v>382</v>
      </c>
      <c r="I352" s="3"/>
      <c r="J352" s="60">
        <f t="shared" si="42"/>
        <v>0</v>
      </c>
      <c r="K352" s="60">
        <f t="shared" si="36"/>
        <v>0</v>
      </c>
      <c r="L352" s="61">
        <f>K352*係数!$H$30</f>
        <v>0</v>
      </c>
      <c r="M352" s="61">
        <f>K352*係数!$C$30*0.0000258</f>
        <v>0</v>
      </c>
      <c r="N352" s="12"/>
      <c r="O352" s="3"/>
      <c r="P352" s="3"/>
      <c r="Q352" s="84" t="s">
        <v>382</v>
      </c>
      <c r="R352" s="3"/>
      <c r="S352" s="488">
        <f t="shared" si="37"/>
        <v>0</v>
      </c>
      <c r="T352" s="8">
        <f t="shared" si="38"/>
        <v>0</v>
      </c>
      <c r="U352" s="61">
        <f>T352*係数!$H$30</f>
        <v>0</v>
      </c>
      <c r="V352" s="61">
        <f>T352*係数!$C$30*0.0000258</f>
        <v>0</v>
      </c>
      <c r="W352" s="8">
        <f t="shared" si="39"/>
        <v>0</v>
      </c>
      <c r="X352" s="272">
        <f t="shared" si="40"/>
        <v>0</v>
      </c>
      <c r="Y352" s="489">
        <f t="shared" si="41"/>
        <v>0</v>
      </c>
    </row>
    <row r="353" spans="2:25">
      <c r="B353" s="100" t="s">
        <v>679</v>
      </c>
      <c r="C353" s="12"/>
      <c r="D353" s="3"/>
      <c r="E353" s="77"/>
      <c r="F353" s="62"/>
      <c r="G353" s="62"/>
      <c r="H353" s="84" t="s">
        <v>382</v>
      </c>
      <c r="I353" s="3"/>
      <c r="J353" s="60">
        <f t="shared" si="42"/>
        <v>0</v>
      </c>
      <c r="K353" s="60">
        <f t="shared" si="36"/>
        <v>0</v>
      </c>
      <c r="L353" s="61">
        <f>K353*係数!$H$30</f>
        <v>0</v>
      </c>
      <c r="M353" s="61">
        <f>K353*係数!$C$30*0.0000258</f>
        <v>0</v>
      </c>
      <c r="N353" s="12"/>
      <c r="O353" s="3"/>
      <c r="P353" s="3"/>
      <c r="Q353" s="84" t="s">
        <v>382</v>
      </c>
      <c r="R353" s="3"/>
      <c r="S353" s="488">
        <f t="shared" si="37"/>
        <v>0</v>
      </c>
      <c r="T353" s="8">
        <f t="shared" si="38"/>
        <v>0</v>
      </c>
      <c r="U353" s="61">
        <f>T353*係数!$H$30</f>
        <v>0</v>
      </c>
      <c r="V353" s="61">
        <f>T353*係数!$C$30*0.0000258</f>
        <v>0</v>
      </c>
      <c r="W353" s="8">
        <f t="shared" si="39"/>
        <v>0</v>
      </c>
      <c r="X353" s="272">
        <f t="shared" si="40"/>
        <v>0</v>
      </c>
      <c r="Y353" s="489">
        <f t="shared" si="41"/>
        <v>0</v>
      </c>
    </row>
    <row r="354" spans="2:25">
      <c r="B354" s="100" t="s">
        <v>680</v>
      </c>
      <c r="C354" s="12"/>
      <c r="D354" s="3"/>
      <c r="E354" s="77"/>
      <c r="F354" s="62"/>
      <c r="G354" s="62"/>
      <c r="H354" s="84" t="s">
        <v>382</v>
      </c>
      <c r="I354" s="3"/>
      <c r="J354" s="60">
        <f t="shared" si="42"/>
        <v>0</v>
      </c>
      <c r="K354" s="60">
        <f t="shared" si="36"/>
        <v>0</v>
      </c>
      <c r="L354" s="61">
        <f>K354*係数!$H$30</f>
        <v>0</v>
      </c>
      <c r="M354" s="61">
        <f>K354*係数!$C$30*0.0000258</f>
        <v>0</v>
      </c>
      <c r="N354" s="12"/>
      <c r="O354" s="3"/>
      <c r="P354" s="3"/>
      <c r="Q354" s="84" t="s">
        <v>382</v>
      </c>
      <c r="R354" s="3"/>
      <c r="S354" s="488">
        <f t="shared" si="37"/>
        <v>0</v>
      </c>
      <c r="T354" s="8">
        <f t="shared" si="38"/>
        <v>0</v>
      </c>
      <c r="U354" s="61">
        <f>T354*係数!$H$30</f>
        <v>0</v>
      </c>
      <c r="V354" s="61">
        <f>T354*係数!$C$30*0.0000258</f>
        <v>0</v>
      </c>
      <c r="W354" s="8">
        <f t="shared" si="39"/>
        <v>0</v>
      </c>
      <c r="X354" s="272">
        <f t="shared" si="40"/>
        <v>0</v>
      </c>
      <c r="Y354" s="489">
        <f t="shared" si="41"/>
        <v>0</v>
      </c>
    </row>
    <row r="355" spans="2:25">
      <c r="B355" s="100" t="s">
        <v>681</v>
      </c>
      <c r="C355" s="12"/>
      <c r="D355" s="3"/>
      <c r="E355" s="77"/>
      <c r="F355" s="62"/>
      <c r="G355" s="62"/>
      <c r="H355" s="84" t="s">
        <v>382</v>
      </c>
      <c r="I355" s="3"/>
      <c r="J355" s="60">
        <f t="shared" si="42"/>
        <v>0</v>
      </c>
      <c r="K355" s="60">
        <f t="shared" si="36"/>
        <v>0</v>
      </c>
      <c r="L355" s="61">
        <f>K355*係数!$H$30</f>
        <v>0</v>
      </c>
      <c r="M355" s="61">
        <f>K355*係数!$C$30*0.0000258</f>
        <v>0</v>
      </c>
      <c r="N355" s="12"/>
      <c r="O355" s="3"/>
      <c r="P355" s="3"/>
      <c r="Q355" s="84" t="s">
        <v>382</v>
      </c>
      <c r="R355" s="3"/>
      <c r="S355" s="488">
        <f t="shared" si="37"/>
        <v>0</v>
      </c>
      <c r="T355" s="8">
        <f t="shared" si="38"/>
        <v>0</v>
      </c>
      <c r="U355" s="61">
        <f>T355*係数!$H$30</f>
        <v>0</v>
      </c>
      <c r="V355" s="61">
        <f>T355*係数!$C$30*0.0000258</f>
        <v>0</v>
      </c>
      <c r="W355" s="8">
        <f t="shared" si="39"/>
        <v>0</v>
      </c>
      <c r="X355" s="272">
        <f t="shared" si="40"/>
        <v>0</v>
      </c>
      <c r="Y355" s="489">
        <f t="shared" si="41"/>
        <v>0</v>
      </c>
    </row>
    <row r="356" spans="2:25">
      <c r="B356" s="100" t="s">
        <v>682</v>
      </c>
      <c r="C356" s="12"/>
      <c r="D356" s="3"/>
      <c r="E356" s="77"/>
      <c r="F356" s="62"/>
      <c r="G356" s="62"/>
      <c r="H356" s="84" t="s">
        <v>382</v>
      </c>
      <c r="I356" s="3"/>
      <c r="J356" s="60">
        <f t="shared" si="42"/>
        <v>0</v>
      </c>
      <c r="K356" s="60">
        <f t="shared" si="36"/>
        <v>0</v>
      </c>
      <c r="L356" s="61">
        <f>K356*係数!$H$30</f>
        <v>0</v>
      </c>
      <c r="M356" s="61">
        <f>K356*係数!$C$30*0.0000258</f>
        <v>0</v>
      </c>
      <c r="N356" s="12"/>
      <c r="O356" s="3"/>
      <c r="P356" s="3"/>
      <c r="Q356" s="84" t="s">
        <v>382</v>
      </c>
      <c r="R356" s="3"/>
      <c r="S356" s="488">
        <f t="shared" si="37"/>
        <v>0</v>
      </c>
      <c r="T356" s="8">
        <f t="shared" si="38"/>
        <v>0</v>
      </c>
      <c r="U356" s="61">
        <f>T356*係数!$H$30</f>
        <v>0</v>
      </c>
      <c r="V356" s="61">
        <f>T356*係数!$C$30*0.0000258</f>
        <v>0</v>
      </c>
      <c r="W356" s="8">
        <f t="shared" si="39"/>
        <v>0</v>
      </c>
      <c r="X356" s="272">
        <f t="shared" si="40"/>
        <v>0</v>
      </c>
      <c r="Y356" s="489">
        <f t="shared" si="41"/>
        <v>0</v>
      </c>
    </row>
    <row r="357" spans="2:25">
      <c r="B357" s="100" t="s">
        <v>683</v>
      </c>
      <c r="C357" s="12"/>
      <c r="D357" s="3"/>
      <c r="E357" s="77"/>
      <c r="F357" s="62"/>
      <c r="G357" s="62"/>
      <c r="H357" s="84" t="s">
        <v>382</v>
      </c>
      <c r="I357" s="3"/>
      <c r="J357" s="60">
        <f t="shared" si="42"/>
        <v>0</v>
      </c>
      <c r="K357" s="60">
        <f t="shared" si="36"/>
        <v>0</v>
      </c>
      <c r="L357" s="61">
        <f>K357*係数!$H$30</f>
        <v>0</v>
      </c>
      <c r="M357" s="61">
        <f>K357*係数!$C$30*0.0000258</f>
        <v>0</v>
      </c>
      <c r="N357" s="12"/>
      <c r="O357" s="3"/>
      <c r="P357" s="3"/>
      <c r="Q357" s="84" t="s">
        <v>382</v>
      </c>
      <c r="R357" s="3"/>
      <c r="S357" s="488">
        <f t="shared" si="37"/>
        <v>0</v>
      </c>
      <c r="T357" s="8">
        <f t="shared" si="38"/>
        <v>0</v>
      </c>
      <c r="U357" s="61">
        <f>T357*係数!$H$30</f>
        <v>0</v>
      </c>
      <c r="V357" s="61">
        <f>T357*係数!$C$30*0.0000258</f>
        <v>0</v>
      </c>
      <c r="W357" s="8">
        <f t="shared" si="39"/>
        <v>0</v>
      </c>
      <c r="X357" s="272">
        <f t="shared" si="40"/>
        <v>0</v>
      </c>
      <c r="Y357" s="489">
        <f t="shared" si="41"/>
        <v>0</v>
      </c>
    </row>
    <row r="358" spans="2:25">
      <c r="B358" s="100" t="s">
        <v>684</v>
      </c>
      <c r="C358" s="12"/>
      <c r="D358" s="3"/>
      <c r="E358" s="77"/>
      <c r="F358" s="62"/>
      <c r="G358" s="62"/>
      <c r="H358" s="84" t="s">
        <v>382</v>
      </c>
      <c r="I358" s="3"/>
      <c r="J358" s="60">
        <f t="shared" si="42"/>
        <v>0</v>
      </c>
      <c r="K358" s="60">
        <f t="shared" si="36"/>
        <v>0</v>
      </c>
      <c r="L358" s="61">
        <f>K358*係数!$H$30</f>
        <v>0</v>
      </c>
      <c r="M358" s="61">
        <f>K358*係数!$C$30*0.0000258</f>
        <v>0</v>
      </c>
      <c r="N358" s="12"/>
      <c r="O358" s="3"/>
      <c r="P358" s="3"/>
      <c r="Q358" s="84" t="s">
        <v>382</v>
      </c>
      <c r="R358" s="3"/>
      <c r="S358" s="488">
        <f t="shared" si="37"/>
        <v>0</v>
      </c>
      <c r="T358" s="8">
        <f t="shared" si="38"/>
        <v>0</v>
      </c>
      <c r="U358" s="61">
        <f>T358*係数!$H$30</f>
        <v>0</v>
      </c>
      <c r="V358" s="61">
        <f>T358*係数!$C$30*0.0000258</f>
        <v>0</v>
      </c>
      <c r="W358" s="8">
        <f t="shared" si="39"/>
        <v>0</v>
      </c>
      <c r="X358" s="272">
        <f t="shared" si="40"/>
        <v>0</v>
      </c>
      <c r="Y358" s="489">
        <f t="shared" si="41"/>
        <v>0</v>
      </c>
    </row>
    <row r="359" spans="2:25">
      <c r="B359" s="100" t="s">
        <v>685</v>
      </c>
      <c r="C359" s="12"/>
      <c r="D359" s="3"/>
      <c r="E359" s="77"/>
      <c r="F359" s="62"/>
      <c r="G359" s="62"/>
      <c r="H359" s="84" t="s">
        <v>382</v>
      </c>
      <c r="I359" s="3"/>
      <c r="J359" s="60">
        <f t="shared" si="42"/>
        <v>0</v>
      </c>
      <c r="K359" s="60">
        <f t="shared" si="36"/>
        <v>0</v>
      </c>
      <c r="L359" s="61">
        <f>K359*係数!$H$30</f>
        <v>0</v>
      </c>
      <c r="M359" s="61">
        <f>K359*係数!$C$30*0.0000258</f>
        <v>0</v>
      </c>
      <c r="N359" s="12"/>
      <c r="O359" s="3"/>
      <c r="P359" s="3"/>
      <c r="Q359" s="84" t="s">
        <v>382</v>
      </c>
      <c r="R359" s="3"/>
      <c r="S359" s="488">
        <f t="shared" si="37"/>
        <v>0</v>
      </c>
      <c r="T359" s="8">
        <f t="shared" si="38"/>
        <v>0</v>
      </c>
      <c r="U359" s="61">
        <f>T359*係数!$H$30</f>
        <v>0</v>
      </c>
      <c r="V359" s="61">
        <f>T359*係数!$C$30*0.0000258</f>
        <v>0</v>
      </c>
      <c r="W359" s="8">
        <f t="shared" si="39"/>
        <v>0</v>
      </c>
      <c r="X359" s="272">
        <f t="shared" si="40"/>
        <v>0</v>
      </c>
      <c r="Y359" s="489">
        <f t="shared" si="41"/>
        <v>0</v>
      </c>
    </row>
    <row r="360" spans="2:25">
      <c r="B360" s="100" t="s">
        <v>686</v>
      </c>
      <c r="C360" s="12"/>
      <c r="D360" s="3"/>
      <c r="E360" s="77"/>
      <c r="F360" s="62"/>
      <c r="G360" s="62"/>
      <c r="H360" s="84" t="s">
        <v>382</v>
      </c>
      <c r="I360" s="3"/>
      <c r="J360" s="60">
        <f t="shared" si="42"/>
        <v>0</v>
      </c>
      <c r="K360" s="60">
        <f t="shared" si="36"/>
        <v>0</v>
      </c>
      <c r="L360" s="61">
        <f>K360*係数!$H$30</f>
        <v>0</v>
      </c>
      <c r="M360" s="61">
        <f>K360*係数!$C$30*0.0000258</f>
        <v>0</v>
      </c>
      <c r="N360" s="12"/>
      <c r="O360" s="3"/>
      <c r="P360" s="3"/>
      <c r="Q360" s="84" t="s">
        <v>382</v>
      </c>
      <c r="R360" s="3"/>
      <c r="S360" s="488">
        <f t="shared" si="37"/>
        <v>0</v>
      </c>
      <c r="T360" s="8">
        <f t="shared" si="38"/>
        <v>0</v>
      </c>
      <c r="U360" s="61">
        <f>T360*係数!$H$30</f>
        <v>0</v>
      </c>
      <c r="V360" s="61">
        <f>T360*係数!$C$30*0.0000258</f>
        <v>0</v>
      </c>
      <c r="W360" s="8">
        <f t="shared" si="39"/>
        <v>0</v>
      </c>
      <c r="X360" s="272">
        <f t="shared" si="40"/>
        <v>0</v>
      </c>
      <c r="Y360" s="489">
        <f t="shared" si="41"/>
        <v>0</v>
      </c>
    </row>
    <row r="361" spans="2:25">
      <c r="B361" s="100" t="s">
        <v>687</v>
      </c>
      <c r="C361" s="12"/>
      <c r="D361" s="3"/>
      <c r="E361" s="77"/>
      <c r="F361" s="62"/>
      <c r="G361" s="62"/>
      <c r="H361" s="84" t="s">
        <v>382</v>
      </c>
      <c r="I361" s="3"/>
      <c r="J361" s="60">
        <f t="shared" si="42"/>
        <v>0</v>
      </c>
      <c r="K361" s="60">
        <f t="shared" si="36"/>
        <v>0</v>
      </c>
      <c r="L361" s="61">
        <f>K361*係数!$H$30</f>
        <v>0</v>
      </c>
      <c r="M361" s="61">
        <f>K361*係数!$C$30*0.0000258</f>
        <v>0</v>
      </c>
      <c r="N361" s="12"/>
      <c r="O361" s="3"/>
      <c r="P361" s="3"/>
      <c r="Q361" s="84" t="s">
        <v>382</v>
      </c>
      <c r="R361" s="3"/>
      <c r="S361" s="488">
        <f t="shared" si="37"/>
        <v>0</v>
      </c>
      <c r="T361" s="8">
        <f t="shared" si="38"/>
        <v>0</v>
      </c>
      <c r="U361" s="61">
        <f>T361*係数!$H$30</f>
        <v>0</v>
      </c>
      <c r="V361" s="61">
        <f>T361*係数!$C$30*0.0000258</f>
        <v>0</v>
      </c>
      <c r="W361" s="8">
        <f t="shared" si="39"/>
        <v>0</v>
      </c>
      <c r="X361" s="272">
        <f t="shared" si="40"/>
        <v>0</v>
      </c>
      <c r="Y361" s="489">
        <f t="shared" si="41"/>
        <v>0</v>
      </c>
    </row>
    <row r="362" spans="2:25">
      <c r="B362" s="100" t="s">
        <v>688</v>
      </c>
      <c r="C362" s="12"/>
      <c r="D362" s="3"/>
      <c r="E362" s="77"/>
      <c r="F362" s="62"/>
      <c r="G362" s="62"/>
      <c r="H362" s="84" t="s">
        <v>382</v>
      </c>
      <c r="I362" s="3"/>
      <c r="J362" s="60">
        <f t="shared" si="42"/>
        <v>0</v>
      </c>
      <c r="K362" s="60">
        <f t="shared" si="36"/>
        <v>0</v>
      </c>
      <c r="L362" s="61">
        <f>K362*係数!$H$30</f>
        <v>0</v>
      </c>
      <c r="M362" s="61">
        <f>K362*係数!$C$30*0.0000258</f>
        <v>0</v>
      </c>
      <c r="N362" s="12"/>
      <c r="O362" s="3"/>
      <c r="P362" s="3"/>
      <c r="Q362" s="84" t="s">
        <v>382</v>
      </c>
      <c r="R362" s="3"/>
      <c r="S362" s="488">
        <f t="shared" si="37"/>
        <v>0</v>
      </c>
      <c r="T362" s="8">
        <f t="shared" si="38"/>
        <v>0</v>
      </c>
      <c r="U362" s="61">
        <f>T362*係数!$H$30</f>
        <v>0</v>
      </c>
      <c r="V362" s="61">
        <f>T362*係数!$C$30*0.0000258</f>
        <v>0</v>
      </c>
      <c r="W362" s="8">
        <f t="shared" si="39"/>
        <v>0</v>
      </c>
      <c r="X362" s="272">
        <f t="shared" si="40"/>
        <v>0</v>
      </c>
      <c r="Y362" s="489">
        <f t="shared" si="41"/>
        <v>0</v>
      </c>
    </row>
    <row r="363" spans="2:25">
      <c r="B363" s="100" t="s">
        <v>689</v>
      </c>
      <c r="C363" s="12"/>
      <c r="D363" s="3"/>
      <c r="E363" s="77"/>
      <c r="F363" s="62"/>
      <c r="G363" s="62"/>
      <c r="H363" s="84" t="s">
        <v>382</v>
      </c>
      <c r="I363" s="3"/>
      <c r="J363" s="60">
        <f t="shared" si="42"/>
        <v>0</v>
      </c>
      <c r="K363" s="60">
        <f t="shared" si="36"/>
        <v>0</v>
      </c>
      <c r="L363" s="61">
        <f>K363*係数!$H$30</f>
        <v>0</v>
      </c>
      <c r="M363" s="61">
        <f>K363*係数!$C$30*0.0000258</f>
        <v>0</v>
      </c>
      <c r="N363" s="12"/>
      <c r="O363" s="3"/>
      <c r="P363" s="3"/>
      <c r="Q363" s="84" t="s">
        <v>382</v>
      </c>
      <c r="R363" s="3"/>
      <c r="S363" s="488">
        <f t="shared" si="37"/>
        <v>0</v>
      </c>
      <c r="T363" s="8">
        <f t="shared" si="38"/>
        <v>0</v>
      </c>
      <c r="U363" s="61">
        <f>T363*係数!$H$30</f>
        <v>0</v>
      </c>
      <c r="V363" s="61">
        <f>T363*係数!$C$30*0.0000258</f>
        <v>0</v>
      </c>
      <c r="W363" s="8">
        <f t="shared" si="39"/>
        <v>0</v>
      </c>
      <c r="X363" s="272">
        <f t="shared" si="40"/>
        <v>0</v>
      </c>
      <c r="Y363" s="489">
        <f t="shared" si="41"/>
        <v>0</v>
      </c>
    </row>
    <row r="364" spans="2:25">
      <c r="B364" s="100" t="s">
        <v>690</v>
      </c>
      <c r="C364" s="12"/>
      <c r="D364" s="3"/>
      <c r="E364" s="77"/>
      <c r="F364" s="62"/>
      <c r="G364" s="62"/>
      <c r="H364" s="84" t="s">
        <v>382</v>
      </c>
      <c r="I364" s="3"/>
      <c r="J364" s="60">
        <f t="shared" si="42"/>
        <v>0</v>
      </c>
      <c r="K364" s="60">
        <f t="shared" si="36"/>
        <v>0</v>
      </c>
      <c r="L364" s="61">
        <f>K364*係数!$H$30</f>
        <v>0</v>
      </c>
      <c r="M364" s="61">
        <f>K364*係数!$C$30*0.0000258</f>
        <v>0</v>
      </c>
      <c r="N364" s="12"/>
      <c r="O364" s="3"/>
      <c r="P364" s="3"/>
      <c r="Q364" s="84" t="s">
        <v>382</v>
      </c>
      <c r="R364" s="3"/>
      <c r="S364" s="488">
        <f t="shared" si="37"/>
        <v>0</v>
      </c>
      <c r="T364" s="8">
        <f t="shared" si="38"/>
        <v>0</v>
      </c>
      <c r="U364" s="61">
        <f>T364*係数!$H$30</f>
        <v>0</v>
      </c>
      <c r="V364" s="61">
        <f>T364*係数!$C$30*0.0000258</f>
        <v>0</v>
      </c>
      <c r="W364" s="8">
        <f t="shared" si="39"/>
        <v>0</v>
      </c>
      <c r="X364" s="272">
        <f t="shared" si="40"/>
        <v>0</v>
      </c>
      <c r="Y364" s="489">
        <f t="shared" si="41"/>
        <v>0</v>
      </c>
    </row>
    <row r="365" spans="2:25">
      <c r="B365" s="100" t="s">
        <v>691</v>
      </c>
      <c r="C365" s="12"/>
      <c r="D365" s="3"/>
      <c r="E365" s="77"/>
      <c r="F365" s="62"/>
      <c r="G365" s="62"/>
      <c r="H365" s="84" t="s">
        <v>382</v>
      </c>
      <c r="I365" s="3"/>
      <c r="J365" s="60">
        <f t="shared" si="42"/>
        <v>0</v>
      </c>
      <c r="K365" s="60">
        <f t="shared" si="36"/>
        <v>0</v>
      </c>
      <c r="L365" s="61">
        <f>K365*係数!$H$30</f>
        <v>0</v>
      </c>
      <c r="M365" s="61">
        <f>K365*係数!$C$30*0.0000258</f>
        <v>0</v>
      </c>
      <c r="N365" s="12"/>
      <c r="O365" s="3"/>
      <c r="P365" s="3"/>
      <c r="Q365" s="84" t="s">
        <v>382</v>
      </c>
      <c r="R365" s="3"/>
      <c r="S365" s="488">
        <f t="shared" si="37"/>
        <v>0</v>
      </c>
      <c r="T365" s="8">
        <f t="shared" si="38"/>
        <v>0</v>
      </c>
      <c r="U365" s="61">
        <f>T365*係数!$H$30</f>
        <v>0</v>
      </c>
      <c r="V365" s="61">
        <f>T365*係数!$C$30*0.0000258</f>
        <v>0</v>
      </c>
      <c r="W365" s="8">
        <f t="shared" si="39"/>
        <v>0</v>
      </c>
      <c r="X365" s="272">
        <f t="shared" si="40"/>
        <v>0</v>
      </c>
      <c r="Y365" s="489">
        <f t="shared" si="41"/>
        <v>0</v>
      </c>
    </row>
    <row r="366" spans="2:25">
      <c r="B366" s="100" t="s">
        <v>692</v>
      </c>
      <c r="C366" s="12"/>
      <c r="D366" s="3"/>
      <c r="E366" s="77"/>
      <c r="F366" s="62"/>
      <c r="G366" s="62"/>
      <c r="H366" s="84" t="s">
        <v>382</v>
      </c>
      <c r="I366" s="3"/>
      <c r="J366" s="60">
        <f t="shared" si="42"/>
        <v>0</v>
      </c>
      <c r="K366" s="60">
        <f t="shared" si="36"/>
        <v>0</v>
      </c>
      <c r="L366" s="61">
        <f>K366*係数!$H$30</f>
        <v>0</v>
      </c>
      <c r="M366" s="61">
        <f>K366*係数!$C$30*0.0000258</f>
        <v>0</v>
      </c>
      <c r="N366" s="12"/>
      <c r="O366" s="3"/>
      <c r="P366" s="3"/>
      <c r="Q366" s="84" t="s">
        <v>382</v>
      </c>
      <c r="R366" s="3"/>
      <c r="S366" s="488">
        <f t="shared" si="37"/>
        <v>0</v>
      </c>
      <c r="T366" s="8">
        <f t="shared" si="38"/>
        <v>0</v>
      </c>
      <c r="U366" s="61">
        <f>T366*係数!$H$30</f>
        <v>0</v>
      </c>
      <c r="V366" s="61">
        <f>T366*係数!$C$30*0.0000258</f>
        <v>0</v>
      </c>
      <c r="W366" s="8">
        <f t="shared" si="39"/>
        <v>0</v>
      </c>
      <c r="X366" s="272">
        <f t="shared" si="40"/>
        <v>0</v>
      </c>
      <c r="Y366" s="489">
        <f t="shared" si="41"/>
        <v>0</v>
      </c>
    </row>
    <row r="367" spans="2:25">
      <c r="B367" s="100" t="s">
        <v>693</v>
      </c>
      <c r="C367" s="12"/>
      <c r="D367" s="3"/>
      <c r="E367" s="77"/>
      <c r="F367" s="62"/>
      <c r="G367" s="62"/>
      <c r="H367" s="84" t="s">
        <v>382</v>
      </c>
      <c r="I367" s="3"/>
      <c r="J367" s="60">
        <f t="shared" si="42"/>
        <v>0</v>
      </c>
      <c r="K367" s="60">
        <f t="shared" si="36"/>
        <v>0</v>
      </c>
      <c r="L367" s="61">
        <f>K367*係数!$H$30</f>
        <v>0</v>
      </c>
      <c r="M367" s="61">
        <f>K367*係数!$C$30*0.0000258</f>
        <v>0</v>
      </c>
      <c r="N367" s="12"/>
      <c r="O367" s="3"/>
      <c r="P367" s="3"/>
      <c r="Q367" s="84" t="s">
        <v>382</v>
      </c>
      <c r="R367" s="3"/>
      <c r="S367" s="488">
        <f t="shared" si="37"/>
        <v>0</v>
      </c>
      <c r="T367" s="8">
        <f t="shared" si="38"/>
        <v>0</v>
      </c>
      <c r="U367" s="61">
        <f>T367*係数!$H$30</f>
        <v>0</v>
      </c>
      <c r="V367" s="61">
        <f>T367*係数!$C$30*0.0000258</f>
        <v>0</v>
      </c>
      <c r="W367" s="8">
        <f t="shared" si="39"/>
        <v>0</v>
      </c>
      <c r="X367" s="272">
        <f t="shared" si="40"/>
        <v>0</v>
      </c>
      <c r="Y367" s="489">
        <f t="shared" si="41"/>
        <v>0</v>
      </c>
    </row>
    <row r="368" spans="2:25">
      <c r="B368" s="100" t="s">
        <v>694</v>
      </c>
      <c r="C368" s="12"/>
      <c r="D368" s="3"/>
      <c r="E368" s="77"/>
      <c r="F368" s="62"/>
      <c r="G368" s="62"/>
      <c r="H368" s="84" t="s">
        <v>382</v>
      </c>
      <c r="I368" s="3"/>
      <c r="J368" s="60">
        <f t="shared" si="42"/>
        <v>0</v>
      </c>
      <c r="K368" s="60">
        <f t="shared" si="36"/>
        <v>0</v>
      </c>
      <c r="L368" s="61">
        <f>K368*係数!$H$30</f>
        <v>0</v>
      </c>
      <c r="M368" s="61">
        <f>K368*係数!$C$30*0.0000258</f>
        <v>0</v>
      </c>
      <c r="N368" s="12"/>
      <c r="O368" s="3"/>
      <c r="P368" s="3"/>
      <c r="Q368" s="84" t="s">
        <v>382</v>
      </c>
      <c r="R368" s="3"/>
      <c r="S368" s="488">
        <f t="shared" si="37"/>
        <v>0</v>
      </c>
      <c r="T368" s="8">
        <f t="shared" si="38"/>
        <v>0</v>
      </c>
      <c r="U368" s="61">
        <f>T368*係数!$H$30</f>
        <v>0</v>
      </c>
      <c r="V368" s="61">
        <f>T368*係数!$C$30*0.0000258</f>
        <v>0</v>
      </c>
      <c r="W368" s="8">
        <f t="shared" si="39"/>
        <v>0</v>
      </c>
      <c r="X368" s="272">
        <f t="shared" si="40"/>
        <v>0</v>
      </c>
      <c r="Y368" s="489">
        <f t="shared" si="41"/>
        <v>0</v>
      </c>
    </row>
    <row r="369" spans="2:25">
      <c r="B369" s="100" t="s">
        <v>695</v>
      </c>
      <c r="C369" s="12"/>
      <c r="D369" s="3"/>
      <c r="E369" s="77"/>
      <c r="F369" s="62"/>
      <c r="G369" s="62"/>
      <c r="H369" s="84" t="s">
        <v>382</v>
      </c>
      <c r="I369" s="3"/>
      <c r="J369" s="60">
        <f t="shared" si="42"/>
        <v>0</v>
      </c>
      <c r="K369" s="60">
        <f t="shared" si="36"/>
        <v>0</v>
      </c>
      <c r="L369" s="61">
        <f>K369*係数!$H$30</f>
        <v>0</v>
      </c>
      <c r="M369" s="61">
        <f>K369*係数!$C$30*0.0000258</f>
        <v>0</v>
      </c>
      <c r="N369" s="12"/>
      <c r="O369" s="3"/>
      <c r="P369" s="3"/>
      <c r="Q369" s="84" t="s">
        <v>382</v>
      </c>
      <c r="R369" s="3"/>
      <c r="S369" s="488">
        <f t="shared" si="37"/>
        <v>0</v>
      </c>
      <c r="T369" s="8">
        <f t="shared" si="38"/>
        <v>0</v>
      </c>
      <c r="U369" s="61">
        <f>T369*係数!$H$30</f>
        <v>0</v>
      </c>
      <c r="V369" s="61">
        <f>T369*係数!$C$30*0.0000258</f>
        <v>0</v>
      </c>
      <c r="W369" s="8">
        <f t="shared" si="39"/>
        <v>0</v>
      </c>
      <c r="X369" s="272">
        <f t="shared" si="40"/>
        <v>0</v>
      </c>
      <c r="Y369" s="489">
        <f t="shared" si="41"/>
        <v>0</v>
      </c>
    </row>
    <row r="370" spans="2:25">
      <c r="B370" s="100" t="s">
        <v>696</v>
      </c>
      <c r="C370" s="12"/>
      <c r="D370" s="3"/>
      <c r="E370" s="77"/>
      <c r="F370" s="62"/>
      <c r="G370" s="62"/>
      <c r="H370" s="84" t="s">
        <v>382</v>
      </c>
      <c r="I370" s="3"/>
      <c r="J370" s="60">
        <f t="shared" si="42"/>
        <v>0</v>
      </c>
      <c r="K370" s="60">
        <f t="shared" si="36"/>
        <v>0</v>
      </c>
      <c r="L370" s="61">
        <f>K370*係数!$H$30</f>
        <v>0</v>
      </c>
      <c r="M370" s="61">
        <f>K370*係数!$C$30*0.0000258</f>
        <v>0</v>
      </c>
      <c r="N370" s="12"/>
      <c r="O370" s="3"/>
      <c r="P370" s="3"/>
      <c r="Q370" s="84" t="s">
        <v>382</v>
      </c>
      <c r="R370" s="3"/>
      <c r="S370" s="488">
        <f t="shared" si="37"/>
        <v>0</v>
      </c>
      <c r="T370" s="8">
        <f t="shared" si="38"/>
        <v>0</v>
      </c>
      <c r="U370" s="61">
        <f>T370*係数!$H$30</f>
        <v>0</v>
      </c>
      <c r="V370" s="61">
        <f>T370*係数!$C$30*0.0000258</f>
        <v>0</v>
      </c>
      <c r="W370" s="8">
        <f t="shared" si="39"/>
        <v>0</v>
      </c>
      <c r="X370" s="272">
        <f t="shared" si="40"/>
        <v>0</v>
      </c>
      <c r="Y370" s="489">
        <f t="shared" si="41"/>
        <v>0</v>
      </c>
    </row>
    <row r="371" spans="2:25">
      <c r="B371" s="100" t="s">
        <v>697</v>
      </c>
      <c r="C371" s="12"/>
      <c r="D371" s="3"/>
      <c r="E371" s="77"/>
      <c r="F371" s="62"/>
      <c r="G371" s="62"/>
      <c r="H371" s="84" t="s">
        <v>382</v>
      </c>
      <c r="I371" s="3"/>
      <c r="J371" s="60">
        <f t="shared" si="42"/>
        <v>0</v>
      </c>
      <c r="K371" s="60">
        <f t="shared" si="36"/>
        <v>0</v>
      </c>
      <c r="L371" s="61">
        <f>K371*係数!$H$30</f>
        <v>0</v>
      </c>
      <c r="M371" s="61">
        <f>K371*係数!$C$30*0.0000258</f>
        <v>0</v>
      </c>
      <c r="N371" s="12"/>
      <c r="O371" s="3"/>
      <c r="P371" s="3"/>
      <c r="Q371" s="84" t="s">
        <v>382</v>
      </c>
      <c r="R371" s="3"/>
      <c r="S371" s="488">
        <f t="shared" si="37"/>
        <v>0</v>
      </c>
      <c r="T371" s="8">
        <f t="shared" si="38"/>
        <v>0</v>
      </c>
      <c r="U371" s="61">
        <f>T371*係数!$H$30</f>
        <v>0</v>
      </c>
      <c r="V371" s="61">
        <f>T371*係数!$C$30*0.0000258</f>
        <v>0</v>
      </c>
      <c r="W371" s="8">
        <f t="shared" si="39"/>
        <v>0</v>
      </c>
      <c r="X371" s="272">
        <f t="shared" si="40"/>
        <v>0</v>
      </c>
      <c r="Y371" s="489">
        <f t="shared" si="41"/>
        <v>0</v>
      </c>
    </row>
    <row r="372" spans="2:25">
      <c r="B372" s="100" t="s">
        <v>698</v>
      </c>
      <c r="C372" s="12"/>
      <c r="D372" s="3"/>
      <c r="E372" s="77"/>
      <c r="F372" s="62"/>
      <c r="G372" s="62"/>
      <c r="H372" s="84" t="s">
        <v>382</v>
      </c>
      <c r="I372" s="3"/>
      <c r="J372" s="60">
        <f t="shared" si="42"/>
        <v>0</v>
      </c>
      <c r="K372" s="60">
        <f t="shared" si="36"/>
        <v>0</v>
      </c>
      <c r="L372" s="61">
        <f>K372*係数!$H$30</f>
        <v>0</v>
      </c>
      <c r="M372" s="61">
        <f>K372*係数!$C$30*0.0000258</f>
        <v>0</v>
      </c>
      <c r="N372" s="12"/>
      <c r="O372" s="3"/>
      <c r="P372" s="3"/>
      <c r="Q372" s="84" t="s">
        <v>382</v>
      </c>
      <c r="R372" s="3"/>
      <c r="S372" s="488">
        <f t="shared" si="37"/>
        <v>0</v>
      </c>
      <c r="T372" s="8">
        <f t="shared" si="38"/>
        <v>0</v>
      </c>
      <c r="U372" s="61">
        <f>T372*係数!$H$30</f>
        <v>0</v>
      </c>
      <c r="V372" s="61">
        <f>T372*係数!$C$30*0.0000258</f>
        <v>0</v>
      </c>
      <c r="W372" s="8">
        <f t="shared" si="39"/>
        <v>0</v>
      </c>
      <c r="X372" s="272">
        <f t="shared" si="40"/>
        <v>0</v>
      </c>
      <c r="Y372" s="489">
        <f t="shared" si="41"/>
        <v>0</v>
      </c>
    </row>
    <row r="373" spans="2:25">
      <c r="B373" s="100" t="s">
        <v>699</v>
      </c>
      <c r="C373" s="12"/>
      <c r="D373" s="3"/>
      <c r="E373" s="77"/>
      <c r="F373" s="62"/>
      <c r="G373" s="62"/>
      <c r="H373" s="84" t="s">
        <v>382</v>
      </c>
      <c r="I373" s="3"/>
      <c r="J373" s="60">
        <f t="shared" si="42"/>
        <v>0</v>
      </c>
      <c r="K373" s="60">
        <f t="shared" si="36"/>
        <v>0</v>
      </c>
      <c r="L373" s="61">
        <f>K373*係数!$H$30</f>
        <v>0</v>
      </c>
      <c r="M373" s="61">
        <f>K373*係数!$C$30*0.0000258</f>
        <v>0</v>
      </c>
      <c r="N373" s="12"/>
      <c r="O373" s="3"/>
      <c r="P373" s="3"/>
      <c r="Q373" s="84" t="s">
        <v>382</v>
      </c>
      <c r="R373" s="3"/>
      <c r="S373" s="488">
        <f t="shared" si="37"/>
        <v>0</v>
      </c>
      <c r="T373" s="8">
        <f t="shared" si="38"/>
        <v>0</v>
      </c>
      <c r="U373" s="61">
        <f>T373*係数!$H$30</f>
        <v>0</v>
      </c>
      <c r="V373" s="61">
        <f>T373*係数!$C$30*0.0000258</f>
        <v>0</v>
      </c>
      <c r="W373" s="8">
        <f t="shared" si="39"/>
        <v>0</v>
      </c>
      <c r="X373" s="272">
        <f t="shared" si="40"/>
        <v>0</v>
      </c>
      <c r="Y373" s="489">
        <f t="shared" si="41"/>
        <v>0</v>
      </c>
    </row>
    <row r="374" spans="2:25">
      <c r="B374" s="100" t="s">
        <v>700</v>
      </c>
      <c r="C374" s="12"/>
      <c r="D374" s="3"/>
      <c r="E374" s="77"/>
      <c r="F374" s="62"/>
      <c r="G374" s="62"/>
      <c r="H374" s="84" t="s">
        <v>382</v>
      </c>
      <c r="I374" s="3"/>
      <c r="J374" s="60">
        <f t="shared" si="42"/>
        <v>0</v>
      </c>
      <c r="K374" s="60">
        <f t="shared" si="36"/>
        <v>0</v>
      </c>
      <c r="L374" s="61">
        <f>K374*係数!$H$30</f>
        <v>0</v>
      </c>
      <c r="M374" s="61">
        <f>K374*係数!$C$30*0.0000258</f>
        <v>0</v>
      </c>
      <c r="N374" s="12"/>
      <c r="O374" s="3"/>
      <c r="P374" s="3"/>
      <c r="Q374" s="84" t="s">
        <v>382</v>
      </c>
      <c r="R374" s="3"/>
      <c r="S374" s="488">
        <f t="shared" si="37"/>
        <v>0</v>
      </c>
      <c r="T374" s="8">
        <f t="shared" si="38"/>
        <v>0</v>
      </c>
      <c r="U374" s="61">
        <f>T374*係数!$H$30</f>
        <v>0</v>
      </c>
      <c r="V374" s="61">
        <f>T374*係数!$C$30*0.0000258</f>
        <v>0</v>
      </c>
      <c r="W374" s="8">
        <f t="shared" si="39"/>
        <v>0</v>
      </c>
      <c r="X374" s="272">
        <f t="shared" si="40"/>
        <v>0</v>
      </c>
      <c r="Y374" s="489">
        <f t="shared" si="41"/>
        <v>0</v>
      </c>
    </row>
    <row r="375" spans="2:25">
      <c r="B375" s="100" t="s">
        <v>701</v>
      </c>
      <c r="C375" s="12"/>
      <c r="D375" s="3"/>
      <c r="E375" s="77"/>
      <c r="F375" s="62"/>
      <c r="G375" s="62"/>
      <c r="H375" s="84" t="s">
        <v>382</v>
      </c>
      <c r="I375" s="3"/>
      <c r="J375" s="60">
        <f t="shared" si="42"/>
        <v>0</v>
      </c>
      <c r="K375" s="60">
        <f t="shared" si="36"/>
        <v>0</v>
      </c>
      <c r="L375" s="61">
        <f>K375*係数!$H$30</f>
        <v>0</v>
      </c>
      <c r="M375" s="61">
        <f>K375*係数!$C$30*0.0000258</f>
        <v>0</v>
      </c>
      <c r="N375" s="12"/>
      <c r="O375" s="3"/>
      <c r="P375" s="3"/>
      <c r="Q375" s="84" t="s">
        <v>382</v>
      </c>
      <c r="R375" s="3"/>
      <c r="S375" s="488">
        <f t="shared" si="37"/>
        <v>0</v>
      </c>
      <c r="T375" s="8">
        <f t="shared" si="38"/>
        <v>0</v>
      </c>
      <c r="U375" s="61">
        <f>T375*係数!$H$30</f>
        <v>0</v>
      </c>
      <c r="V375" s="61">
        <f>T375*係数!$C$30*0.0000258</f>
        <v>0</v>
      </c>
      <c r="W375" s="8">
        <f t="shared" si="39"/>
        <v>0</v>
      </c>
      <c r="X375" s="272">
        <f t="shared" si="40"/>
        <v>0</v>
      </c>
      <c r="Y375" s="489">
        <f t="shared" si="41"/>
        <v>0</v>
      </c>
    </row>
    <row r="376" spans="2:25">
      <c r="B376" s="100" t="s">
        <v>702</v>
      </c>
      <c r="C376" s="12"/>
      <c r="D376" s="3"/>
      <c r="E376" s="77"/>
      <c r="F376" s="62"/>
      <c r="G376" s="62"/>
      <c r="H376" s="84" t="s">
        <v>382</v>
      </c>
      <c r="I376" s="3"/>
      <c r="J376" s="60">
        <f t="shared" si="42"/>
        <v>0</v>
      </c>
      <c r="K376" s="60">
        <f t="shared" si="36"/>
        <v>0</v>
      </c>
      <c r="L376" s="61">
        <f>K376*係数!$H$30</f>
        <v>0</v>
      </c>
      <c r="M376" s="61">
        <f>K376*係数!$C$30*0.0000258</f>
        <v>0</v>
      </c>
      <c r="N376" s="12"/>
      <c r="O376" s="3"/>
      <c r="P376" s="3"/>
      <c r="Q376" s="84" t="s">
        <v>382</v>
      </c>
      <c r="R376" s="3"/>
      <c r="S376" s="488">
        <f t="shared" si="37"/>
        <v>0</v>
      </c>
      <c r="T376" s="8">
        <f t="shared" si="38"/>
        <v>0</v>
      </c>
      <c r="U376" s="61">
        <f>T376*係数!$H$30</f>
        <v>0</v>
      </c>
      <c r="V376" s="61">
        <f>T376*係数!$C$30*0.0000258</f>
        <v>0</v>
      </c>
      <c r="W376" s="8">
        <f t="shared" si="39"/>
        <v>0</v>
      </c>
      <c r="X376" s="272">
        <f t="shared" si="40"/>
        <v>0</v>
      </c>
      <c r="Y376" s="489">
        <f t="shared" si="41"/>
        <v>0</v>
      </c>
    </row>
    <row r="377" spans="2:25">
      <c r="B377" s="100" t="s">
        <v>703</v>
      </c>
      <c r="C377" s="12"/>
      <c r="D377" s="3"/>
      <c r="E377" s="77"/>
      <c r="F377" s="62"/>
      <c r="G377" s="62"/>
      <c r="H377" s="84" t="s">
        <v>382</v>
      </c>
      <c r="I377" s="3"/>
      <c r="J377" s="60">
        <f t="shared" si="42"/>
        <v>0</v>
      </c>
      <c r="K377" s="60">
        <f t="shared" si="36"/>
        <v>0</v>
      </c>
      <c r="L377" s="61">
        <f>K377*係数!$H$30</f>
        <v>0</v>
      </c>
      <c r="M377" s="61">
        <f>K377*係数!$C$30*0.0000258</f>
        <v>0</v>
      </c>
      <c r="N377" s="12"/>
      <c r="O377" s="3"/>
      <c r="P377" s="3"/>
      <c r="Q377" s="84" t="s">
        <v>382</v>
      </c>
      <c r="R377" s="3"/>
      <c r="S377" s="488">
        <f t="shared" si="37"/>
        <v>0</v>
      </c>
      <c r="T377" s="8">
        <f t="shared" si="38"/>
        <v>0</v>
      </c>
      <c r="U377" s="61">
        <f>T377*係数!$H$30</f>
        <v>0</v>
      </c>
      <c r="V377" s="61">
        <f>T377*係数!$C$30*0.0000258</f>
        <v>0</v>
      </c>
      <c r="W377" s="8">
        <f t="shared" si="39"/>
        <v>0</v>
      </c>
      <c r="X377" s="272">
        <f t="shared" si="40"/>
        <v>0</v>
      </c>
      <c r="Y377" s="489">
        <f t="shared" si="41"/>
        <v>0</v>
      </c>
    </row>
    <row r="378" spans="2:25">
      <c r="B378" s="100" t="s">
        <v>704</v>
      </c>
      <c r="C378" s="12"/>
      <c r="D378" s="3"/>
      <c r="E378" s="77"/>
      <c r="F378" s="62"/>
      <c r="G378" s="62"/>
      <c r="H378" s="84" t="s">
        <v>382</v>
      </c>
      <c r="I378" s="3"/>
      <c r="J378" s="60">
        <f t="shared" si="42"/>
        <v>0</v>
      </c>
      <c r="K378" s="60">
        <f t="shared" si="36"/>
        <v>0</v>
      </c>
      <c r="L378" s="61">
        <f>K378*係数!$H$30</f>
        <v>0</v>
      </c>
      <c r="M378" s="61">
        <f>K378*係数!$C$30*0.0000258</f>
        <v>0</v>
      </c>
      <c r="N378" s="12"/>
      <c r="O378" s="3"/>
      <c r="P378" s="3"/>
      <c r="Q378" s="84" t="s">
        <v>382</v>
      </c>
      <c r="R378" s="3"/>
      <c r="S378" s="488">
        <f t="shared" si="37"/>
        <v>0</v>
      </c>
      <c r="T378" s="8">
        <f t="shared" si="38"/>
        <v>0</v>
      </c>
      <c r="U378" s="61">
        <f>T378*係数!$H$30</f>
        <v>0</v>
      </c>
      <c r="V378" s="61">
        <f>T378*係数!$C$30*0.0000258</f>
        <v>0</v>
      </c>
      <c r="W378" s="8">
        <f t="shared" si="39"/>
        <v>0</v>
      </c>
      <c r="X378" s="272">
        <f t="shared" si="40"/>
        <v>0</v>
      </c>
      <c r="Y378" s="489">
        <f t="shared" si="41"/>
        <v>0</v>
      </c>
    </row>
    <row r="379" spans="2:25">
      <c r="B379" s="100" t="s">
        <v>705</v>
      </c>
      <c r="C379" s="12"/>
      <c r="D379" s="3"/>
      <c r="E379" s="77"/>
      <c r="F379" s="62"/>
      <c r="G379" s="62"/>
      <c r="H379" s="84" t="s">
        <v>382</v>
      </c>
      <c r="I379" s="3"/>
      <c r="J379" s="60">
        <f t="shared" si="42"/>
        <v>0</v>
      </c>
      <c r="K379" s="60">
        <f t="shared" si="36"/>
        <v>0</v>
      </c>
      <c r="L379" s="61">
        <f>K379*係数!$H$30</f>
        <v>0</v>
      </c>
      <c r="M379" s="61">
        <f>K379*係数!$C$30*0.0000258</f>
        <v>0</v>
      </c>
      <c r="N379" s="12"/>
      <c r="O379" s="3"/>
      <c r="P379" s="3"/>
      <c r="Q379" s="84" t="s">
        <v>382</v>
      </c>
      <c r="R379" s="3"/>
      <c r="S379" s="488">
        <f t="shared" si="37"/>
        <v>0</v>
      </c>
      <c r="T379" s="8">
        <f t="shared" si="38"/>
        <v>0</v>
      </c>
      <c r="U379" s="61">
        <f>T379*係数!$H$30</f>
        <v>0</v>
      </c>
      <c r="V379" s="61">
        <f>T379*係数!$C$30*0.0000258</f>
        <v>0</v>
      </c>
      <c r="W379" s="8">
        <f t="shared" si="39"/>
        <v>0</v>
      </c>
      <c r="X379" s="272">
        <f t="shared" si="40"/>
        <v>0</v>
      </c>
      <c r="Y379" s="489">
        <f t="shared" si="41"/>
        <v>0</v>
      </c>
    </row>
    <row r="380" spans="2:25">
      <c r="B380" s="100" t="s">
        <v>706</v>
      </c>
      <c r="C380" s="12"/>
      <c r="D380" s="3"/>
      <c r="E380" s="77"/>
      <c r="F380" s="62"/>
      <c r="G380" s="62"/>
      <c r="H380" s="84" t="s">
        <v>382</v>
      </c>
      <c r="I380" s="3"/>
      <c r="J380" s="60">
        <f t="shared" si="42"/>
        <v>0</v>
      </c>
      <c r="K380" s="60">
        <f t="shared" si="36"/>
        <v>0</v>
      </c>
      <c r="L380" s="61">
        <f>K380*係数!$H$30</f>
        <v>0</v>
      </c>
      <c r="M380" s="61">
        <f>K380*係数!$C$30*0.0000258</f>
        <v>0</v>
      </c>
      <c r="N380" s="12"/>
      <c r="O380" s="3"/>
      <c r="P380" s="3"/>
      <c r="Q380" s="84" t="s">
        <v>382</v>
      </c>
      <c r="R380" s="3"/>
      <c r="S380" s="488">
        <f t="shared" si="37"/>
        <v>0</v>
      </c>
      <c r="T380" s="8">
        <f t="shared" si="38"/>
        <v>0</v>
      </c>
      <c r="U380" s="61">
        <f>T380*係数!$H$30</f>
        <v>0</v>
      </c>
      <c r="V380" s="61">
        <f>T380*係数!$C$30*0.0000258</f>
        <v>0</v>
      </c>
      <c r="W380" s="8">
        <f t="shared" si="39"/>
        <v>0</v>
      </c>
      <c r="X380" s="272">
        <f t="shared" si="40"/>
        <v>0</v>
      </c>
      <c r="Y380" s="489">
        <f t="shared" si="41"/>
        <v>0</v>
      </c>
    </row>
    <row r="381" spans="2:25">
      <c r="B381" s="100" t="s">
        <v>707</v>
      </c>
      <c r="C381" s="12"/>
      <c r="D381" s="3"/>
      <c r="E381" s="77"/>
      <c r="F381" s="62"/>
      <c r="G381" s="62"/>
      <c r="H381" s="84" t="s">
        <v>382</v>
      </c>
      <c r="I381" s="3"/>
      <c r="J381" s="60">
        <f t="shared" si="42"/>
        <v>0</v>
      </c>
      <c r="K381" s="60">
        <f t="shared" si="36"/>
        <v>0</v>
      </c>
      <c r="L381" s="61">
        <f>K381*係数!$H$30</f>
        <v>0</v>
      </c>
      <c r="M381" s="61">
        <f>K381*係数!$C$30*0.0000258</f>
        <v>0</v>
      </c>
      <c r="N381" s="12"/>
      <c r="O381" s="3"/>
      <c r="P381" s="3"/>
      <c r="Q381" s="84" t="s">
        <v>382</v>
      </c>
      <c r="R381" s="3"/>
      <c r="S381" s="488">
        <f t="shared" si="37"/>
        <v>0</v>
      </c>
      <c r="T381" s="8">
        <f t="shared" si="38"/>
        <v>0</v>
      </c>
      <c r="U381" s="61">
        <f>T381*係数!$H$30</f>
        <v>0</v>
      </c>
      <c r="V381" s="61">
        <f>T381*係数!$C$30*0.0000258</f>
        <v>0</v>
      </c>
      <c r="W381" s="8">
        <f t="shared" si="39"/>
        <v>0</v>
      </c>
      <c r="X381" s="272">
        <f t="shared" si="40"/>
        <v>0</v>
      </c>
      <c r="Y381" s="489">
        <f t="shared" si="41"/>
        <v>0</v>
      </c>
    </row>
    <row r="382" spans="2:25">
      <c r="B382" s="100" t="s">
        <v>708</v>
      </c>
      <c r="C382" s="12"/>
      <c r="D382" s="3"/>
      <c r="E382" s="77"/>
      <c r="F382" s="62"/>
      <c r="G382" s="62"/>
      <c r="H382" s="84" t="s">
        <v>382</v>
      </c>
      <c r="I382" s="3"/>
      <c r="J382" s="60">
        <f t="shared" si="42"/>
        <v>0</v>
      </c>
      <c r="K382" s="60">
        <f t="shared" si="36"/>
        <v>0</v>
      </c>
      <c r="L382" s="61">
        <f>K382*係数!$H$30</f>
        <v>0</v>
      </c>
      <c r="M382" s="61">
        <f>K382*係数!$C$30*0.0000258</f>
        <v>0</v>
      </c>
      <c r="N382" s="12"/>
      <c r="O382" s="3"/>
      <c r="P382" s="3"/>
      <c r="Q382" s="84" t="s">
        <v>382</v>
      </c>
      <c r="R382" s="3"/>
      <c r="S382" s="488">
        <f t="shared" si="37"/>
        <v>0</v>
      </c>
      <c r="T382" s="8">
        <f t="shared" si="38"/>
        <v>0</v>
      </c>
      <c r="U382" s="61">
        <f>T382*係数!$H$30</f>
        <v>0</v>
      </c>
      <c r="V382" s="61">
        <f>T382*係数!$C$30*0.0000258</f>
        <v>0</v>
      </c>
      <c r="W382" s="8">
        <f t="shared" si="39"/>
        <v>0</v>
      </c>
      <c r="X382" s="272">
        <f t="shared" si="40"/>
        <v>0</v>
      </c>
      <c r="Y382" s="489">
        <f t="shared" si="41"/>
        <v>0</v>
      </c>
    </row>
    <row r="383" spans="2:25">
      <c r="B383" s="100" t="s">
        <v>709</v>
      </c>
      <c r="C383" s="12"/>
      <c r="D383" s="3"/>
      <c r="E383" s="77"/>
      <c r="F383" s="62"/>
      <c r="G383" s="62"/>
      <c r="H383" s="84" t="s">
        <v>382</v>
      </c>
      <c r="I383" s="3"/>
      <c r="J383" s="60">
        <f t="shared" si="42"/>
        <v>0</v>
      </c>
      <c r="K383" s="60">
        <f t="shared" si="36"/>
        <v>0</v>
      </c>
      <c r="L383" s="61">
        <f>K383*係数!$H$30</f>
        <v>0</v>
      </c>
      <c r="M383" s="61">
        <f>K383*係数!$C$30*0.0000258</f>
        <v>0</v>
      </c>
      <c r="N383" s="12"/>
      <c r="O383" s="3"/>
      <c r="P383" s="3"/>
      <c r="Q383" s="84" t="s">
        <v>382</v>
      </c>
      <c r="R383" s="3"/>
      <c r="S383" s="488">
        <f t="shared" si="37"/>
        <v>0</v>
      </c>
      <c r="T383" s="8">
        <f t="shared" si="38"/>
        <v>0</v>
      </c>
      <c r="U383" s="61">
        <f>T383*係数!$H$30</f>
        <v>0</v>
      </c>
      <c r="V383" s="61">
        <f>T383*係数!$C$30*0.0000258</f>
        <v>0</v>
      </c>
      <c r="W383" s="8">
        <f t="shared" si="39"/>
        <v>0</v>
      </c>
      <c r="X383" s="272">
        <f t="shared" si="40"/>
        <v>0</v>
      </c>
      <c r="Y383" s="489">
        <f t="shared" si="41"/>
        <v>0</v>
      </c>
    </row>
    <row r="384" spans="2:25">
      <c r="B384" s="100" t="s">
        <v>710</v>
      </c>
      <c r="C384" s="12"/>
      <c r="D384" s="3"/>
      <c r="E384" s="77"/>
      <c r="F384" s="62"/>
      <c r="G384" s="62"/>
      <c r="H384" s="84" t="s">
        <v>382</v>
      </c>
      <c r="I384" s="3"/>
      <c r="J384" s="60">
        <f t="shared" si="42"/>
        <v>0</v>
      </c>
      <c r="K384" s="60">
        <f t="shared" si="36"/>
        <v>0</v>
      </c>
      <c r="L384" s="61">
        <f>K384*係数!$H$30</f>
        <v>0</v>
      </c>
      <c r="M384" s="61">
        <f>K384*係数!$C$30*0.0000258</f>
        <v>0</v>
      </c>
      <c r="N384" s="12"/>
      <c r="O384" s="3"/>
      <c r="P384" s="3"/>
      <c r="Q384" s="84" t="s">
        <v>382</v>
      </c>
      <c r="R384" s="3"/>
      <c r="S384" s="488">
        <f t="shared" si="37"/>
        <v>0</v>
      </c>
      <c r="T384" s="8">
        <f t="shared" si="38"/>
        <v>0</v>
      </c>
      <c r="U384" s="61">
        <f>T384*係数!$H$30</f>
        <v>0</v>
      </c>
      <c r="V384" s="61">
        <f>T384*係数!$C$30*0.0000258</f>
        <v>0</v>
      </c>
      <c r="W384" s="8">
        <f t="shared" si="39"/>
        <v>0</v>
      </c>
      <c r="X384" s="272">
        <f t="shared" si="40"/>
        <v>0</v>
      </c>
      <c r="Y384" s="489">
        <f t="shared" si="41"/>
        <v>0</v>
      </c>
    </row>
    <row r="385" spans="2:25">
      <c r="B385" s="100" t="s">
        <v>711</v>
      </c>
      <c r="C385" s="12"/>
      <c r="D385" s="3"/>
      <c r="E385" s="77"/>
      <c r="F385" s="62"/>
      <c r="G385" s="62"/>
      <c r="H385" s="84" t="s">
        <v>382</v>
      </c>
      <c r="I385" s="3"/>
      <c r="J385" s="60">
        <f t="shared" si="42"/>
        <v>0</v>
      </c>
      <c r="K385" s="60">
        <f t="shared" si="36"/>
        <v>0</v>
      </c>
      <c r="L385" s="61">
        <f>K385*係数!$H$30</f>
        <v>0</v>
      </c>
      <c r="M385" s="61">
        <f>K385*係数!$C$30*0.0000258</f>
        <v>0</v>
      </c>
      <c r="N385" s="12"/>
      <c r="O385" s="3"/>
      <c r="P385" s="3"/>
      <c r="Q385" s="84" t="s">
        <v>382</v>
      </c>
      <c r="R385" s="3"/>
      <c r="S385" s="488">
        <f t="shared" si="37"/>
        <v>0</v>
      </c>
      <c r="T385" s="8">
        <f t="shared" si="38"/>
        <v>0</v>
      </c>
      <c r="U385" s="61">
        <f>T385*係数!$H$30</f>
        <v>0</v>
      </c>
      <c r="V385" s="61">
        <f>T385*係数!$C$30*0.0000258</f>
        <v>0</v>
      </c>
      <c r="W385" s="8">
        <f t="shared" si="39"/>
        <v>0</v>
      </c>
      <c r="X385" s="272">
        <f t="shared" si="40"/>
        <v>0</v>
      </c>
      <c r="Y385" s="489">
        <f t="shared" si="41"/>
        <v>0</v>
      </c>
    </row>
    <row r="386" spans="2:25">
      <c r="B386" s="100" t="s">
        <v>712</v>
      </c>
      <c r="C386" s="12"/>
      <c r="D386" s="3"/>
      <c r="E386" s="77"/>
      <c r="F386" s="62"/>
      <c r="G386" s="62"/>
      <c r="H386" s="84" t="s">
        <v>382</v>
      </c>
      <c r="I386" s="3"/>
      <c r="J386" s="60">
        <f t="shared" si="42"/>
        <v>0</v>
      </c>
      <c r="K386" s="60">
        <f t="shared" si="36"/>
        <v>0</v>
      </c>
      <c r="L386" s="61">
        <f>K386*係数!$H$30</f>
        <v>0</v>
      </c>
      <c r="M386" s="61">
        <f>K386*係数!$C$30*0.0000258</f>
        <v>0</v>
      </c>
      <c r="N386" s="12"/>
      <c r="O386" s="3"/>
      <c r="P386" s="3"/>
      <c r="Q386" s="84" t="s">
        <v>382</v>
      </c>
      <c r="R386" s="3"/>
      <c r="S386" s="488">
        <f t="shared" si="37"/>
        <v>0</v>
      </c>
      <c r="T386" s="8">
        <f t="shared" si="38"/>
        <v>0</v>
      </c>
      <c r="U386" s="61">
        <f>T386*係数!$H$30</f>
        <v>0</v>
      </c>
      <c r="V386" s="61">
        <f>T386*係数!$C$30*0.0000258</f>
        <v>0</v>
      </c>
      <c r="W386" s="8">
        <f t="shared" si="39"/>
        <v>0</v>
      </c>
      <c r="X386" s="272">
        <f t="shared" si="40"/>
        <v>0</v>
      </c>
      <c r="Y386" s="489">
        <f t="shared" si="41"/>
        <v>0</v>
      </c>
    </row>
    <row r="387" spans="2:25">
      <c r="B387" s="100" t="s">
        <v>713</v>
      </c>
      <c r="C387" s="12"/>
      <c r="D387" s="3"/>
      <c r="E387" s="77"/>
      <c r="F387" s="62"/>
      <c r="G387" s="62"/>
      <c r="H387" s="84" t="s">
        <v>382</v>
      </c>
      <c r="I387" s="3"/>
      <c r="J387" s="60">
        <f t="shared" si="42"/>
        <v>0</v>
      </c>
      <c r="K387" s="60">
        <f t="shared" si="36"/>
        <v>0</v>
      </c>
      <c r="L387" s="61">
        <f>K387*係数!$H$30</f>
        <v>0</v>
      </c>
      <c r="M387" s="61">
        <f>K387*係数!$C$30*0.0000258</f>
        <v>0</v>
      </c>
      <c r="N387" s="12"/>
      <c r="O387" s="3"/>
      <c r="P387" s="3"/>
      <c r="Q387" s="84" t="s">
        <v>382</v>
      </c>
      <c r="R387" s="3"/>
      <c r="S387" s="488">
        <f t="shared" si="37"/>
        <v>0</v>
      </c>
      <c r="T387" s="8">
        <f t="shared" si="38"/>
        <v>0</v>
      </c>
      <c r="U387" s="61">
        <f>T387*係数!$H$30</f>
        <v>0</v>
      </c>
      <c r="V387" s="61">
        <f>T387*係数!$C$30*0.0000258</f>
        <v>0</v>
      </c>
      <c r="W387" s="8">
        <f t="shared" si="39"/>
        <v>0</v>
      </c>
      <c r="X387" s="272">
        <f t="shared" si="40"/>
        <v>0</v>
      </c>
      <c r="Y387" s="489">
        <f t="shared" si="41"/>
        <v>0</v>
      </c>
    </row>
    <row r="388" spans="2:25">
      <c r="B388" s="100" t="s">
        <v>714</v>
      </c>
      <c r="C388" s="12"/>
      <c r="D388" s="3"/>
      <c r="E388" s="77"/>
      <c r="F388" s="62"/>
      <c r="G388" s="62"/>
      <c r="H388" s="84" t="s">
        <v>382</v>
      </c>
      <c r="I388" s="3"/>
      <c r="J388" s="60">
        <f t="shared" si="42"/>
        <v>0</v>
      </c>
      <c r="K388" s="60">
        <f t="shared" si="36"/>
        <v>0</v>
      </c>
      <c r="L388" s="61">
        <f>K388*係数!$H$30</f>
        <v>0</v>
      </c>
      <c r="M388" s="61">
        <f>K388*係数!$C$30*0.0000258</f>
        <v>0</v>
      </c>
      <c r="N388" s="12"/>
      <c r="O388" s="3"/>
      <c r="P388" s="3"/>
      <c r="Q388" s="84" t="s">
        <v>382</v>
      </c>
      <c r="R388" s="3"/>
      <c r="S388" s="488">
        <f t="shared" si="37"/>
        <v>0</v>
      </c>
      <c r="T388" s="8">
        <f t="shared" si="38"/>
        <v>0</v>
      </c>
      <c r="U388" s="61">
        <f>T388*係数!$H$30</f>
        <v>0</v>
      </c>
      <c r="V388" s="61">
        <f>T388*係数!$C$30*0.0000258</f>
        <v>0</v>
      </c>
      <c r="W388" s="8">
        <f t="shared" si="39"/>
        <v>0</v>
      </c>
      <c r="X388" s="272">
        <f t="shared" si="40"/>
        <v>0</v>
      </c>
      <c r="Y388" s="489">
        <f t="shared" si="41"/>
        <v>0</v>
      </c>
    </row>
    <row r="389" spans="2:25">
      <c r="B389" s="100" t="s">
        <v>715</v>
      </c>
      <c r="C389" s="12"/>
      <c r="D389" s="3"/>
      <c r="E389" s="77"/>
      <c r="F389" s="62"/>
      <c r="G389" s="62"/>
      <c r="H389" s="84" t="s">
        <v>382</v>
      </c>
      <c r="I389" s="3"/>
      <c r="J389" s="60">
        <f t="shared" si="42"/>
        <v>0</v>
      </c>
      <c r="K389" s="60">
        <f t="shared" si="36"/>
        <v>0</v>
      </c>
      <c r="L389" s="61">
        <f>K389*係数!$H$30</f>
        <v>0</v>
      </c>
      <c r="M389" s="61">
        <f>K389*係数!$C$30*0.0000258</f>
        <v>0</v>
      </c>
      <c r="N389" s="12"/>
      <c r="O389" s="3"/>
      <c r="P389" s="3"/>
      <c r="Q389" s="84" t="s">
        <v>382</v>
      </c>
      <c r="R389" s="3"/>
      <c r="S389" s="488">
        <f t="shared" si="37"/>
        <v>0</v>
      </c>
      <c r="T389" s="8">
        <f t="shared" si="38"/>
        <v>0</v>
      </c>
      <c r="U389" s="61">
        <f>T389*係数!$H$30</f>
        <v>0</v>
      </c>
      <c r="V389" s="61">
        <f>T389*係数!$C$30*0.0000258</f>
        <v>0</v>
      </c>
      <c r="W389" s="8">
        <f t="shared" si="39"/>
        <v>0</v>
      </c>
      <c r="X389" s="272">
        <f t="shared" si="40"/>
        <v>0</v>
      </c>
      <c r="Y389" s="489">
        <f t="shared" si="41"/>
        <v>0</v>
      </c>
    </row>
    <row r="390" spans="2:25">
      <c r="B390" s="100" t="s">
        <v>716</v>
      </c>
      <c r="C390" s="12"/>
      <c r="D390" s="3"/>
      <c r="E390" s="77"/>
      <c r="F390" s="62"/>
      <c r="G390" s="62"/>
      <c r="H390" s="84" t="s">
        <v>382</v>
      </c>
      <c r="I390" s="3"/>
      <c r="J390" s="60">
        <f t="shared" si="42"/>
        <v>0</v>
      </c>
      <c r="K390" s="60">
        <f t="shared" si="36"/>
        <v>0</v>
      </c>
      <c r="L390" s="61">
        <f>K390*係数!$H$30</f>
        <v>0</v>
      </c>
      <c r="M390" s="61">
        <f>K390*係数!$C$30*0.0000258</f>
        <v>0</v>
      </c>
      <c r="N390" s="12"/>
      <c r="O390" s="3"/>
      <c r="P390" s="3"/>
      <c r="Q390" s="84" t="s">
        <v>382</v>
      </c>
      <c r="R390" s="3"/>
      <c r="S390" s="488">
        <f t="shared" si="37"/>
        <v>0</v>
      </c>
      <c r="T390" s="8">
        <f t="shared" si="38"/>
        <v>0</v>
      </c>
      <c r="U390" s="61">
        <f>T390*係数!$H$30</f>
        <v>0</v>
      </c>
      <c r="V390" s="61">
        <f>T390*係数!$C$30*0.0000258</f>
        <v>0</v>
      </c>
      <c r="W390" s="8">
        <f t="shared" si="39"/>
        <v>0</v>
      </c>
      <c r="X390" s="272">
        <f t="shared" si="40"/>
        <v>0</v>
      </c>
      <c r="Y390" s="489">
        <f t="shared" si="41"/>
        <v>0</v>
      </c>
    </row>
    <row r="391" spans="2:25">
      <c r="B391" s="100" t="s">
        <v>717</v>
      </c>
      <c r="C391" s="12"/>
      <c r="D391" s="3"/>
      <c r="E391" s="77"/>
      <c r="F391" s="62"/>
      <c r="G391" s="62"/>
      <c r="H391" s="84" t="s">
        <v>382</v>
      </c>
      <c r="I391" s="3"/>
      <c r="J391" s="60">
        <f t="shared" si="42"/>
        <v>0</v>
      </c>
      <c r="K391" s="60">
        <f t="shared" si="36"/>
        <v>0</v>
      </c>
      <c r="L391" s="61">
        <f>K391*係数!$H$30</f>
        <v>0</v>
      </c>
      <c r="M391" s="61">
        <f>K391*係数!$C$30*0.0000258</f>
        <v>0</v>
      </c>
      <c r="N391" s="12"/>
      <c r="O391" s="3"/>
      <c r="P391" s="3"/>
      <c r="Q391" s="84" t="s">
        <v>382</v>
      </c>
      <c r="R391" s="3"/>
      <c r="S391" s="488">
        <f t="shared" si="37"/>
        <v>0</v>
      </c>
      <c r="T391" s="8">
        <f t="shared" si="38"/>
        <v>0</v>
      </c>
      <c r="U391" s="61">
        <f>T391*係数!$H$30</f>
        <v>0</v>
      </c>
      <c r="V391" s="61">
        <f>T391*係数!$C$30*0.0000258</f>
        <v>0</v>
      </c>
      <c r="W391" s="8">
        <f t="shared" si="39"/>
        <v>0</v>
      </c>
      <c r="X391" s="272">
        <f t="shared" si="40"/>
        <v>0</v>
      </c>
      <c r="Y391" s="489">
        <f t="shared" si="41"/>
        <v>0</v>
      </c>
    </row>
    <row r="392" spans="2:25">
      <c r="B392" s="100" t="s">
        <v>718</v>
      </c>
      <c r="C392" s="12"/>
      <c r="D392" s="3"/>
      <c r="E392" s="77"/>
      <c r="F392" s="62"/>
      <c r="G392" s="62"/>
      <c r="H392" s="84" t="s">
        <v>382</v>
      </c>
      <c r="I392" s="3"/>
      <c r="J392" s="60">
        <f t="shared" si="42"/>
        <v>0</v>
      </c>
      <c r="K392" s="60">
        <f t="shared" si="36"/>
        <v>0</v>
      </c>
      <c r="L392" s="61">
        <f>K392*係数!$H$30</f>
        <v>0</v>
      </c>
      <c r="M392" s="61">
        <f>K392*係数!$C$30*0.0000258</f>
        <v>0</v>
      </c>
      <c r="N392" s="12"/>
      <c r="O392" s="3"/>
      <c r="P392" s="3"/>
      <c r="Q392" s="84" t="s">
        <v>382</v>
      </c>
      <c r="R392" s="3"/>
      <c r="S392" s="488">
        <f t="shared" si="37"/>
        <v>0</v>
      </c>
      <c r="T392" s="8">
        <f t="shared" si="38"/>
        <v>0</v>
      </c>
      <c r="U392" s="61">
        <f>T392*係数!$H$30</f>
        <v>0</v>
      </c>
      <c r="V392" s="61">
        <f>T392*係数!$C$30*0.0000258</f>
        <v>0</v>
      </c>
      <c r="W392" s="8">
        <f t="shared" si="39"/>
        <v>0</v>
      </c>
      <c r="X392" s="272">
        <f t="shared" si="40"/>
        <v>0</v>
      </c>
      <c r="Y392" s="489">
        <f t="shared" si="41"/>
        <v>0</v>
      </c>
    </row>
    <row r="393" spans="2:25">
      <c r="B393" s="100" t="s">
        <v>719</v>
      </c>
      <c r="C393" s="12"/>
      <c r="D393" s="3"/>
      <c r="E393" s="77"/>
      <c r="F393" s="62"/>
      <c r="G393" s="62"/>
      <c r="H393" s="84" t="s">
        <v>382</v>
      </c>
      <c r="I393" s="3"/>
      <c r="J393" s="60">
        <f t="shared" si="42"/>
        <v>0</v>
      </c>
      <c r="K393" s="60">
        <f t="shared" si="36"/>
        <v>0</v>
      </c>
      <c r="L393" s="61">
        <f>K393*係数!$H$30</f>
        <v>0</v>
      </c>
      <c r="M393" s="61">
        <f>K393*係数!$C$30*0.0000258</f>
        <v>0</v>
      </c>
      <c r="N393" s="12"/>
      <c r="O393" s="3"/>
      <c r="P393" s="3"/>
      <c r="Q393" s="84" t="s">
        <v>382</v>
      </c>
      <c r="R393" s="3"/>
      <c r="S393" s="488">
        <f t="shared" si="37"/>
        <v>0</v>
      </c>
      <c r="T393" s="8">
        <f t="shared" si="38"/>
        <v>0</v>
      </c>
      <c r="U393" s="61">
        <f>T393*係数!$H$30</f>
        <v>0</v>
      </c>
      <c r="V393" s="61">
        <f>T393*係数!$C$30*0.0000258</f>
        <v>0</v>
      </c>
      <c r="W393" s="8">
        <f t="shared" si="39"/>
        <v>0</v>
      </c>
      <c r="X393" s="272">
        <f t="shared" si="40"/>
        <v>0</v>
      </c>
      <c r="Y393" s="489">
        <f t="shared" si="41"/>
        <v>0</v>
      </c>
    </row>
    <row r="394" spans="2:25">
      <c r="B394" s="100" t="s">
        <v>720</v>
      </c>
      <c r="C394" s="12"/>
      <c r="D394" s="3"/>
      <c r="E394" s="77"/>
      <c r="F394" s="62"/>
      <c r="G394" s="62"/>
      <c r="H394" s="84" t="s">
        <v>382</v>
      </c>
      <c r="I394" s="3"/>
      <c r="J394" s="60">
        <f t="shared" si="42"/>
        <v>0</v>
      </c>
      <c r="K394" s="60">
        <f t="shared" si="36"/>
        <v>0</v>
      </c>
      <c r="L394" s="61">
        <f>K394*係数!$H$30</f>
        <v>0</v>
      </c>
      <c r="M394" s="61">
        <f>K394*係数!$C$30*0.0000258</f>
        <v>0</v>
      </c>
      <c r="N394" s="12"/>
      <c r="O394" s="3"/>
      <c r="P394" s="3"/>
      <c r="Q394" s="84" t="s">
        <v>382</v>
      </c>
      <c r="R394" s="3"/>
      <c r="S394" s="488">
        <f t="shared" si="37"/>
        <v>0</v>
      </c>
      <c r="T394" s="8">
        <f t="shared" si="38"/>
        <v>0</v>
      </c>
      <c r="U394" s="61">
        <f>T394*係数!$H$30</f>
        <v>0</v>
      </c>
      <c r="V394" s="61">
        <f>T394*係数!$C$30*0.0000258</f>
        <v>0</v>
      </c>
      <c r="W394" s="8">
        <f t="shared" si="39"/>
        <v>0</v>
      </c>
      <c r="X394" s="272">
        <f t="shared" si="40"/>
        <v>0</v>
      </c>
      <c r="Y394" s="489">
        <f t="shared" si="41"/>
        <v>0</v>
      </c>
    </row>
    <row r="395" spans="2:25">
      <c r="B395" s="100" t="s">
        <v>721</v>
      </c>
      <c r="C395" s="12"/>
      <c r="D395" s="3"/>
      <c r="E395" s="77"/>
      <c r="F395" s="62"/>
      <c r="G395" s="62"/>
      <c r="H395" s="84" t="s">
        <v>382</v>
      </c>
      <c r="I395" s="3"/>
      <c r="J395" s="60">
        <f t="shared" si="42"/>
        <v>0</v>
      </c>
      <c r="K395" s="60">
        <f t="shared" si="36"/>
        <v>0</v>
      </c>
      <c r="L395" s="61">
        <f>K395*係数!$H$30</f>
        <v>0</v>
      </c>
      <c r="M395" s="61">
        <f>K395*係数!$C$30*0.0000258</f>
        <v>0</v>
      </c>
      <c r="N395" s="12"/>
      <c r="O395" s="3"/>
      <c r="P395" s="3"/>
      <c r="Q395" s="84" t="s">
        <v>382</v>
      </c>
      <c r="R395" s="3"/>
      <c r="S395" s="488">
        <f t="shared" si="37"/>
        <v>0</v>
      </c>
      <c r="T395" s="8">
        <f t="shared" si="38"/>
        <v>0</v>
      </c>
      <c r="U395" s="61">
        <f>T395*係数!$H$30</f>
        <v>0</v>
      </c>
      <c r="V395" s="61">
        <f>T395*係数!$C$30*0.0000258</f>
        <v>0</v>
      </c>
      <c r="W395" s="8">
        <f t="shared" si="39"/>
        <v>0</v>
      </c>
      <c r="X395" s="272">
        <f t="shared" si="40"/>
        <v>0</v>
      </c>
      <c r="Y395" s="489">
        <f t="shared" si="41"/>
        <v>0</v>
      </c>
    </row>
    <row r="396" spans="2:25">
      <c r="B396" s="100" t="s">
        <v>722</v>
      </c>
      <c r="C396" s="12"/>
      <c r="D396" s="3"/>
      <c r="E396" s="77"/>
      <c r="F396" s="62"/>
      <c r="G396" s="62"/>
      <c r="H396" s="84" t="s">
        <v>382</v>
      </c>
      <c r="I396" s="3"/>
      <c r="J396" s="60">
        <f t="shared" si="42"/>
        <v>0</v>
      </c>
      <c r="K396" s="60">
        <f t="shared" si="36"/>
        <v>0</v>
      </c>
      <c r="L396" s="61">
        <f>K396*係数!$H$30</f>
        <v>0</v>
      </c>
      <c r="M396" s="61">
        <f>K396*係数!$C$30*0.0000258</f>
        <v>0</v>
      </c>
      <c r="N396" s="12"/>
      <c r="O396" s="3"/>
      <c r="P396" s="3"/>
      <c r="Q396" s="84" t="s">
        <v>382</v>
      </c>
      <c r="R396" s="3"/>
      <c r="S396" s="488">
        <f t="shared" si="37"/>
        <v>0</v>
      </c>
      <c r="T396" s="8">
        <f t="shared" si="38"/>
        <v>0</v>
      </c>
      <c r="U396" s="61">
        <f>T396*係数!$H$30</f>
        <v>0</v>
      </c>
      <c r="V396" s="61">
        <f>T396*係数!$C$30*0.0000258</f>
        <v>0</v>
      </c>
      <c r="W396" s="8">
        <f t="shared" si="39"/>
        <v>0</v>
      </c>
      <c r="X396" s="272">
        <f t="shared" si="40"/>
        <v>0</v>
      </c>
      <c r="Y396" s="489">
        <f t="shared" si="41"/>
        <v>0</v>
      </c>
    </row>
    <row r="397" spans="2:25">
      <c r="B397" s="100" t="s">
        <v>723</v>
      </c>
      <c r="C397" s="12"/>
      <c r="D397" s="3"/>
      <c r="E397" s="77"/>
      <c r="F397" s="62"/>
      <c r="G397" s="62"/>
      <c r="H397" s="84" t="s">
        <v>382</v>
      </c>
      <c r="I397" s="3"/>
      <c r="J397" s="60">
        <f t="shared" si="42"/>
        <v>0</v>
      </c>
      <c r="K397" s="60">
        <f t="shared" si="36"/>
        <v>0</v>
      </c>
      <c r="L397" s="61">
        <f>K397*係数!$H$30</f>
        <v>0</v>
      </c>
      <c r="M397" s="61">
        <f>K397*係数!$C$30*0.0000258</f>
        <v>0</v>
      </c>
      <c r="N397" s="12"/>
      <c r="O397" s="3"/>
      <c r="P397" s="3"/>
      <c r="Q397" s="84" t="s">
        <v>382</v>
      </c>
      <c r="R397" s="3"/>
      <c r="S397" s="488">
        <f t="shared" si="37"/>
        <v>0</v>
      </c>
      <c r="T397" s="8">
        <f t="shared" si="38"/>
        <v>0</v>
      </c>
      <c r="U397" s="61">
        <f>T397*係数!$H$30</f>
        <v>0</v>
      </c>
      <c r="V397" s="61">
        <f>T397*係数!$C$30*0.0000258</f>
        <v>0</v>
      </c>
      <c r="W397" s="8">
        <f t="shared" si="39"/>
        <v>0</v>
      </c>
      <c r="X397" s="272">
        <f t="shared" si="40"/>
        <v>0</v>
      </c>
      <c r="Y397" s="489">
        <f t="shared" si="41"/>
        <v>0</v>
      </c>
    </row>
    <row r="398" spans="2:25">
      <c r="B398" s="100" t="s">
        <v>724</v>
      </c>
      <c r="C398" s="12"/>
      <c r="D398" s="3"/>
      <c r="E398" s="77"/>
      <c r="F398" s="62"/>
      <c r="G398" s="62"/>
      <c r="H398" s="84" t="s">
        <v>382</v>
      </c>
      <c r="I398" s="3"/>
      <c r="J398" s="60">
        <f t="shared" si="42"/>
        <v>0</v>
      </c>
      <c r="K398" s="60">
        <f t="shared" si="36"/>
        <v>0</v>
      </c>
      <c r="L398" s="61">
        <f>K398*係数!$H$30</f>
        <v>0</v>
      </c>
      <c r="M398" s="61">
        <f>K398*係数!$C$30*0.0000258</f>
        <v>0</v>
      </c>
      <c r="N398" s="12"/>
      <c r="O398" s="3"/>
      <c r="P398" s="3"/>
      <c r="Q398" s="84" t="s">
        <v>382</v>
      </c>
      <c r="R398" s="3"/>
      <c r="S398" s="488">
        <f t="shared" si="37"/>
        <v>0</v>
      </c>
      <c r="T398" s="8">
        <f t="shared" si="38"/>
        <v>0</v>
      </c>
      <c r="U398" s="61">
        <f>T398*係数!$H$30</f>
        <v>0</v>
      </c>
      <c r="V398" s="61">
        <f>T398*係数!$C$30*0.0000258</f>
        <v>0</v>
      </c>
      <c r="W398" s="8">
        <f t="shared" si="39"/>
        <v>0</v>
      </c>
      <c r="X398" s="272">
        <f t="shared" si="40"/>
        <v>0</v>
      </c>
      <c r="Y398" s="489">
        <f t="shared" si="41"/>
        <v>0</v>
      </c>
    </row>
    <row r="399" spans="2:25">
      <c r="B399" s="100" t="s">
        <v>725</v>
      </c>
      <c r="C399" s="12"/>
      <c r="D399" s="3"/>
      <c r="E399" s="77"/>
      <c r="F399" s="62"/>
      <c r="G399" s="62"/>
      <c r="H399" s="84" t="s">
        <v>382</v>
      </c>
      <c r="I399" s="3"/>
      <c r="J399" s="60">
        <f t="shared" si="42"/>
        <v>0</v>
      </c>
      <c r="K399" s="60">
        <f t="shared" si="36"/>
        <v>0</v>
      </c>
      <c r="L399" s="61">
        <f>K399*係数!$H$30</f>
        <v>0</v>
      </c>
      <c r="M399" s="61">
        <f>K399*係数!$C$30*0.0000258</f>
        <v>0</v>
      </c>
      <c r="N399" s="12"/>
      <c r="O399" s="3"/>
      <c r="P399" s="3"/>
      <c r="Q399" s="84" t="s">
        <v>382</v>
      </c>
      <c r="R399" s="3"/>
      <c r="S399" s="488">
        <f t="shared" si="37"/>
        <v>0</v>
      </c>
      <c r="T399" s="8">
        <f t="shared" si="38"/>
        <v>0</v>
      </c>
      <c r="U399" s="61">
        <f>T399*係数!$H$30</f>
        <v>0</v>
      </c>
      <c r="V399" s="61">
        <f>T399*係数!$C$30*0.0000258</f>
        <v>0</v>
      </c>
      <c r="W399" s="8">
        <f t="shared" si="39"/>
        <v>0</v>
      </c>
      <c r="X399" s="272">
        <f t="shared" si="40"/>
        <v>0</v>
      </c>
      <c r="Y399" s="489">
        <f t="shared" si="41"/>
        <v>0</v>
      </c>
    </row>
    <row r="400" spans="2:25">
      <c r="B400" s="100" t="s">
        <v>726</v>
      </c>
      <c r="C400" s="12"/>
      <c r="D400" s="3"/>
      <c r="E400" s="77"/>
      <c r="F400" s="62"/>
      <c r="G400" s="62"/>
      <c r="H400" s="84" t="s">
        <v>382</v>
      </c>
      <c r="I400" s="3"/>
      <c r="J400" s="60">
        <f t="shared" si="42"/>
        <v>0</v>
      </c>
      <c r="K400" s="60">
        <f t="shared" si="36"/>
        <v>0</v>
      </c>
      <c r="L400" s="61">
        <f>K400*係数!$H$30</f>
        <v>0</v>
      </c>
      <c r="M400" s="61">
        <f>K400*係数!$C$30*0.0000258</f>
        <v>0</v>
      </c>
      <c r="N400" s="12"/>
      <c r="O400" s="3"/>
      <c r="P400" s="3"/>
      <c r="Q400" s="84" t="s">
        <v>382</v>
      </c>
      <c r="R400" s="3"/>
      <c r="S400" s="488">
        <f t="shared" si="37"/>
        <v>0</v>
      </c>
      <c r="T400" s="8">
        <f t="shared" si="38"/>
        <v>0</v>
      </c>
      <c r="U400" s="61">
        <f>T400*係数!$H$30</f>
        <v>0</v>
      </c>
      <c r="V400" s="61">
        <f>T400*係数!$C$30*0.0000258</f>
        <v>0</v>
      </c>
      <c r="W400" s="8">
        <f t="shared" si="39"/>
        <v>0</v>
      </c>
      <c r="X400" s="272">
        <f t="shared" si="40"/>
        <v>0</v>
      </c>
      <c r="Y400" s="489">
        <f t="shared" si="41"/>
        <v>0</v>
      </c>
    </row>
    <row r="401" spans="2:25">
      <c r="B401" s="100" t="s">
        <v>727</v>
      </c>
      <c r="C401" s="12"/>
      <c r="D401" s="3"/>
      <c r="E401" s="77"/>
      <c r="F401" s="62"/>
      <c r="G401" s="62"/>
      <c r="H401" s="84" t="s">
        <v>382</v>
      </c>
      <c r="I401" s="3"/>
      <c r="J401" s="60">
        <f t="shared" si="42"/>
        <v>0</v>
      </c>
      <c r="K401" s="60">
        <f t="shared" si="36"/>
        <v>0</v>
      </c>
      <c r="L401" s="61">
        <f>K401*係数!$H$30</f>
        <v>0</v>
      </c>
      <c r="M401" s="61">
        <f>K401*係数!$C$30*0.0000258</f>
        <v>0</v>
      </c>
      <c r="N401" s="12"/>
      <c r="O401" s="3"/>
      <c r="P401" s="3"/>
      <c r="Q401" s="84" t="s">
        <v>382</v>
      </c>
      <c r="R401" s="3"/>
      <c r="S401" s="488">
        <f t="shared" si="37"/>
        <v>0</v>
      </c>
      <c r="T401" s="8">
        <f t="shared" si="38"/>
        <v>0</v>
      </c>
      <c r="U401" s="61">
        <f>T401*係数!$H$30</f>
        <v>0</v>
      </c>
      <c r="V401" s="61">
        <f>T401*係数!$C$30*0.0000258</f>
        <v>0</v>
      </c>
      <c r="W401" s="8">
        <f t="shared" si="39"/>
        <v>0</v>
      </c>
      <c r="X401" s="272">
        <f t="shared" si="40"/>
        <v>0</v>
      </c>
      <c r="Y401" s="489">
        <f t="shared" si="41"/>
        <v>0</v>
      </c>
    </row>
    <row r="402" spans="2:25">
      <c r="B402" s="100" t="s">
        <v>728</v>
      </c>
      <c r="C402" s="12"/>
      <c r="D402" s="3"/>
      <c r="E402" s="77"/>
      <c r="F402" s="62"/>
      <c r="G402" s="62"/>
      <c r="H402" s="84" t="s">
        <v>382</v>
      </c>
      <c r="I402" s="3"/>
      <c r="J402" s="60">
        <f t="shared" si="42"/>
        <v>0</v>
      </c>
      <c r="K402" s="60">
        <f t="shared" si="36"/>
        <v>0</v>
      </c>
      <c r="L402" s="61">
        <f>K402*係数!$H$30</f>
        <v>0</v>
      </c>
      <c r="M402" s="61">
        <f>K402*係数!$C$30*0.0000258</f>
        <v>0</v>
      </c>
      <c r="N402" s="12"/>
      <c r="O402" s="3"/>
      <c r="P402" s="3"/>
      <c r="Q402" s="84" t="s">
        <v>382</v>
      </c>
      <c r="R402" s="3"/>
      <c r="S402" s="488">
        <f t="shared" si="37"/>
        <v>0</v>
      </c>
      <c r="T402" s="8">
        <f t="shared" si="38"/>
        <v>0</v>
      </c>
      <c r="U402" s="61">
        <f>T402*係数!$H$30</f>
        <v>0</v>
      </c>
      <c r="V402" s="61">
        <f>T402*係数!$C$30*0.0000258</f>
        <v>0</v>
      </c>
      <c r="W402" s="8">
        <f t="shared" si="39"/>
        <v>0</v>
      </c>
      <c r="X402" s="272">
        <f t="shared" si="40"/>
        <v>0</v>
      </c>
      <c r="Y402" s="489">
        <f t="shared" si="41"/>
        <v>0</v>
      </c>
    </row>
    <row r="403" spans="2:25">
      <c r="B403" s="100" t="s">
        <v>729</v>
      </c>
      <c r="C403" s="12"/>
      <c r="D403" s="3"/>
      <c r="E403" s="77"/>
      <c r="F403" s="62"/>
      <c r="G403" s="62"/>
      <c r="H403" s="84" t="s">
        <v>382</v>
      </c>
      <c r="I403" s="3"/>
      <c r="J403" s="60">
        <f t="shared" si="42"/>
        <v>0</v>
      </c>
      <c r="K403" s="60">
        <f t="shared" si="36"/>
        <v>0</v>
      </c>
      <c r="L403" s="61">
        <f>K403*係数!$H$30</f>
        <v>0</v>
      </c>
      <c r="M403" s="61">
        <f>K403*係数!$C$30*0.0000258</f>
        <v>0</v>
      </c>
      <c r="N403" s="12"/>
      <c r="O403" s="3"/>
      <c r="P403" s="3"/>
      <c r="Q403" s="84" t="s">
        <v>382</v>
      </c>
      <c r="R403" s="3"/>
      <c r="S403" s="488">
        <f t="shared" si="37"/>
        <v>0</v>
      </c>
      <c r="T403" s="8">
        <f t="shared" si="38"/>
        <v>0</v>
      </c>
      <c r="U403" s="61">
        <f>T403*係数!$H$30</f>
        <v>0</v>
      </c>
      <c r="V403" s="61">
        <f>T403*係数!$C$30*0.0000258</f>
        <v>0</v>
      </c>
      <c r="W403" s="8">
        <f t="shared" si="39"/>
        <v>0</v>
      </c>
      <c r="X403" s="272">
        <f t="shared" si="40"/>
        <v>0</v>
      </c>
      <c r="Y403" s="489">
        <f t="shared" si="41"/>
        <v>0</v>
      </c>
    </row>
    <row r="404" spans="2:25">
      <c r="B404" s="100" t="s">
        <v>730</v>
      </c>
      <c r="C404" s="12"/>
      <c r="D404" s="3"/>
      <c r="E404" s="77"/>
      <c r="F404" s="62"/>
      <c r="G404" s="62"/>
      <c r="H404" s="84" t="s">
        <v>382</v>
      </c>
      <c r="I404" s="3"/>
      <c r="J404" s="60">
        <f t="shared" si="42"/>
        <v>0</v>
      </c>
      <c r="K404" s="60">
        <f t="shared" ref="K404:K467" si="43">E404*D404*J404/1000</f>
        <v>0</v>
      </c>
      <c r="L404" s="61">
        <f>K404*係数!$H$30</f>
        <v>0</v>
      </c>
      <c r="M404" s="61">
        <f>K404*係数!$C$30*0.0000258</f>
        <v>0</v>
      </c>
      <c r="N404" s="12"/>
      <c r="O404" s="3"/>
      <c r="P404" s="3"/>
      <c r="Q404" s="84" t="s">
        <v>382</v>
      </c>
      <c r="R404" s="3"/>
      <c r="S404" s="488">
        <f t="shared" ref="S404:S467" si="44">IF(Q404="○",F404*G404*R404/100,F404*G404)</f>
        <v>0</v>
      </c>
      <c r="T404" s="8">
        <f t="shared" ref="T404:T467" si="45">P404*O404*S404/1000</f>
        <v>0</v>
      </c>
      <c r="U404" s="61">
        <f>T404*係数!$H$30</f>
        <v>0</v>
      </c>
      <c r="V404" s="61">
        <f>T404*係数!$C$30*0.0000258</f>
        <v>0</v>
      </c>
      <c r="W404" s="8">
        <f t="shared" ref="W404:W467" si="46">K404-T404</f>
        <v>0</v>
      </c>
      <c r="X404" s="272">
        <f t="shared" ref="X404:X467" si="47">L404-U404</f>
        <v>0</v>
      </c>
      <c r="Y404" s="489">
        <f t="shared" ref="Y404:Y467" si="48">M404-V404</f>
        <v>0</v>
      </c>
    </row>
    <row r="405" spans="2:25">
      <c r="B405" s="100" t="s">
        <v>731</v>
      </c>
      <c r="C405" s="12"/>
      <c r="D405" s="3"/>
      <c r="E405" s="77"/>
      <c r="F405" s="62"/>
      <c r="G405" s="62"/>
      <c r="H405" s="84" t="s">
        <v>382</v>
      </c>
      <c r="I405" s="3"/>
      <c r="J405" s="60">
        <f t="shared" ref="J405:J468" si="49">IF(H405="○",F405*G405*I405/100,F405*G405)</f>
        <v>0</v>
      </c>
      <c r="K405" s="60">
        <f t="shared" si="43"/>
        <v>0</v>
      </c>
      <c r="L405" s="61">
        <f>K405*係数!$H$30</f>
        <v>0</v>
      </c>
      <c r="M405" s="61">
        <f>K405*係数!$C$30*0.0000258</f>
        <v>0</v>
      </c>
      <c r="N405" s="12"/>
      <c r="O405" s="3"/>
      <c r="P405" s="3"/>
      <c r="Q405" s="84" t="s">
        <v>382</v>
      </c>
      <c r="R405" s="3"/>
      <c r="S405" s="488">
        <f t="shared" si="44"/>
        <v>0</v>
      </c>
      <c r="T405" s="8">
        <f t="shared" si="45"/>
        <v>0</v>
      </c>
      <c r="U405" s="61">
        <f>T405*係数!$H$30</f>
        <v>0</v>
      </c>
      <c r="V405" s="61">
        <f>T405*係数!$C$30*0.0000258</f>
        <v>0</v>
      </c>
      <c r="W405" s="8">
        <f t="shared" si="46"/>
        <v>0</v>
      </c>
      <c r="X405" s="272">
        <f t="shared" si="47"/>
        <v>0</v>
      </c>
      <c r="Y405" s="489">
        <f t="shared" si="48"/>
        <v>0</v>
      </c>
    </row>
    <row r="406" spans="2:25">
      <c r="B406" s="100" t="s">
        <v>732</v>
      </c>
      <c r="C406" s="12"/>
      <c r="D406" s="3"/>
      <c r="E406" s="77"/>
      <c r="F406" s="62"/>
      <c r="G406" s="62"/>
      <c r="H406" s="84" t="s">
        <v>382</v>
      </c>
      <c r="I406" s="3"/>
      <c r="J406" s="60">
        <f t="shared" si="49"/>
        <v>0</v>
      </c>
      <c r="K406" s="60">
        <f t="shared" si="43"/>
        <v>0</v>
      </c>
      <c r="L406" s="61">
        <f>K406*係数!$H$30</f>
        <v>0</v>
      </c>
      <c r="M406" s="61">
        <f>K406*係数!$C$30*0.0000258</f>
        <v>0</v>
      </c>
      <c r="N406" s="12"/>
      <c r="O406" s="3"/>
      <c r="P406" s="3"/>
      <c r="Q406" s="84" t="s">
        <v>382</v>
      </c>
      <c r="R406" s="3"/>
      <c r="S406" s="488">
        <f t="shared" si="44"/>
        <v>0</v>
      </c>
      <c r="T406" s="8">
        <f t="shared" si="45"/>
        <v>0</v>
      </c>
      <c r="U406" s="61">
        <f>T406*係数!$H$30</f>
        <v>0</v>
      </c>
      <c r="V406" s="61">
        <f>T406*係数!$C$30*0.0000258</f>
        <v>0</v>
      </c>
      <c r="W406" s="8">
        <f t="shared" si="46"/>
        <v>0</v>
      </c>
      <c r="X406" s="272">
        <f t="shared" si="47"/>
        <v>0</v>
      </c>
      <c r="Y406" s="489">
        <f t="shared" si="48"/>
        <v>0</v>
      </c>
    </row>
    <row r="407" spans="2:25">
      <c r="B407" s="100" t="s">
        <v>733</v>
      </c>
      <c r="C407" s="12"/>
      <c r="D407" s="3"/>
      <c r="E407" s="77"/>
      <c r="F407" s="62"/>
      <c r="G407" s="62"/>
      <c r="H407" s="84" t="s">
        <v>382</v>
      </c>
      <c r="I407" s="3"/>
      <c r="J407" s="60">
        <f t="shared" si="49"/>
        <v>0</v>
      </c>
      <c r="K407" s="60">
        <f t="shared" si="43"/>
        <v>0</v>
      </c>
      <c r="L407" s="61">
        <f>K407*係数!$H$30</f>
        <v>0</v>
      </c>
      <c r="M407" s="61">
        <f>K407*係数!$C$30*0.0000258</f>
        <v>0</v>
      </c>
      <c r="N407" s="12"/>
      <c r="O407" s="3"/>
      <c r="P407" s="3"/>
      <c r="Q407" s="84" t="s">
        <v>382</v>
      </c>
      <c r="R407" s="3"/>
      <c r="S407" s="488">
        <f t="shared" si="44"/>
        <v>0</v>
      </c>
      <c r="T407" s="8">
        <f t="shared" si="45"/>
        <v>0</v>
      </c>
      <c r="U407" s="61">
        <f>T407*係数!$H$30</f>
        <v>0</v>
      </c>
      <c r="V407" s="61">
        <f>T407*係数!$C$30*0.0000258</f>
        <v>0</v>
      </c>
      <c r="W407" s="8">
        <f t="shared" si="46"/>
        <v>0</v>
      </c>
      <c r="X407" s="272">
        <f t="shared" si="47"/>
        <v>0</v>
      </c>
      <c r="Y407" s="489">
        <f t="shared" si="48"/>
        <v>0</v>
      </c>
    </row>
    <row r="408" spans="2:25">
      <c r="B408" s="100" t="s">
        <v>734</v>
      </c>
      <c r="C408" s="12"/>
      <c r="D408" s="3"/>
      <c r="E408" s="77"/>
      <c r="F408" s="62"/>
      <c r="G408" s="62"/>
      <c r="H408" s="84" t="s">
        <v>382</v>
      </c>
      <c r="I408" s="3"/>
      <c r="J408" s="60">
        <f t="shared" si="49"/>
        <v>0</v>
      </c>
      <c r="K408" s="60">
        <f t="shared" si="43"/>
        <v>0</v>
      </c>
      <c r="L408" s="61">
        <f>K408*係数!$H$30</f>
        <v>0</v>
      </c>
      <c r="M408" s="61">
        <f>K408*係数!$C$30*0.0000258</f>
        <v>0</v>
      </c>
      <c r="N408" s="12"/>
      <c r="O408" s="3"/>
      <c r="P408" s="3"/>
      <c r="Q408" s="84" t="s">
        <v>382</v>
      </c>
      <c r="R408" s="3"/>
      <c r="S408" s="488">
        <f t="shared" si="44"/>
        <v>0</v>
      </c>
      <c r="T408" s="8">
        <f t="shared" si="45"/>
        <v>0</v>
      </c>
      <c r="U408" s="61">
        <f>T408*係数!$H$30</f>
        <v>0</v>
      </c>
      <c r="V408" s="61">
        <f>T408*係数!$C$30*0.0000258</f>
        <v>0</v>
      </c>
      <c r="W408" s="8">
        <f t="shared" si="46"/>
        <v>0</v>
      </c>
      <c r="X408" s="272">
        <f t="shared" si="47"/>
        <v>0</v>
      </c>
      <c r="Y408" s="489">
        <f t="shared" si="48"/>
        <v>0</v>
      </c>
    </row>
    <row r="409" spans="2:25">
      <c r="B409" s="100" t="s">
        <v>735</v>
      </c>
      <c r="C409" s="12"/>
      <c r="D409" s="3"/>
      <c r="E409" s="77"/>
      <c r="F409" s="62"/>
      <c r="G409" s="62"/>
      <c r="H409" s="84" t="s">
        <v>382</v>
      </c>
      <c r="I409" s="3"/>
      <c r="J409" s="60">
        <f t="shared" si="49"/>
        <v>0</v>
      </c>
      <c r="K409" s="60">
        <f t="shared" si="43"/>
        <v>0</v>
      </c>
      <c r="L409" s="61">
        <f>K409*係数!$H$30</f>
        <v>0</v>
      </c>
      <c r="M409" s="61">
        <f>K409*係数!$C$30*0.0000258</f>
        <v>0</v>
      </c>
      <c r="N409" s="12"/>
      <c r="O409" s="3"/>
      <c r="P409" s="3"/>
      <c r="Q409" s="84" t="s">
        <v>382</v>
      </c>
      <c r="R409" s="3"/>
      <c r="S409" s="488">
        <f t="shared" si="44"/>
        <v>0</v>
      </c>
      <c r="T409" s="8">
        <f t="shared" si="45"/>
        <v>0</v>
      </c>
      <c r="U409" s="61">
        <f>T409*係数!$H$30</f>
        <v>0</v>
      </c>
      <c r="V409" s="61">
        <f>T409*係数!$C$30*0.0000258</f>
        <v>0</v>
      </c>
      <c r="W409" s="8">
        <f t="shared" si="46"/>
        <v>0</v>
      </c>
      <c r="X409" s="272">
        <f t="shared" si="47"/>
        <v>0</v>
      </c>
      <c r="Y409" s="489">
        <f t="shared" si="48"/>
        <v>0</v>
      </c>
    </row>
    <row r="410" spans="2:25">
      <c r="B410" s="100" t="s">
        <v>736</v>
      </c>
      <c r="C410" s="12"/>
      <c r="D410" s="3"/>
      <c r="E410" s="77"/>
      <c r="F410" s="62"/>
      <c r="G410" s="62"/>
      <c r="H410" s="84" t="s">
        <v>382</v>
      </c>
      <c r="I410" s="3"/>
      <c r="J410" s="60">
        <f t="shared" si="49"/>
        <v>0</v>
      </c>
      <c r="K410" s="60">
        <f t="shared" si="43"/>
        <v>0</v>
      </c>
      <c r="L410" s="61">
        <f>K410*係数!$H$30</f>
        <v>0</v>
      </c>
      <c r="M410" s="61">
        <f>K410*係数!$C$30*0.0000258</f>
        <v>0</v>
      </c>
      <c r="N410" s="12"/>
      <c r="O410" s="3"/>
      <c r="P410" s="3"/>
      <c r="Q410" s="84" t="s">
        <v>382</v>
      </c>
      <c r="R410" s="3"/>
      <c r="S410" s="488">
        <f t="shared" si="44"/>
        <v>0</v>
      </c>
      <c r="T410" s="8">
        <f t="shared" si="45"/>
        <v>0</v>
      </c>
      <c r="U410" s="61">
        <f>T410*係数!$H$30</f>
        <v>0</v>
      </c>
      <c r="V410" s="61">
        <f>T410*係数!$C$30*0.0000258</f>
        <v>0</v>
      </c>
      <c r="W410" s="8">
        <f t="shared" si="46"/>
        <v>0</v>
      </c>
      <c r="X410" s="272">
        <f t="shared" si="47"/>
        <v>0</v>
      </c>
      <c r="Y410" s="489">
        <f t="shared" si="48"/>
        <v>0</v>
      </c>
    </row>
    <row r="411" spans="2:25">
      <c r="B411" s="100" t="s">
        <v>737</v>
      </c>
      <c r="C411" s="12"/>
      <c r="D411" s="3"/>
      <c r="E411" s="77"/>
      <c r="F411" s="62"/>
      <c r="G411" s="62"/>
      <c r="H411" s="84" t="s">
        <v>382</v>
      </c>
      <c r="I411" s="3"/>
      <c r="J411" s="60">
        <f t="shared" si="49"/>
        <v>0</v>
      </c>
      <c r="K411" s="60">
        <f t="shared" si="43"/>
        <v>0</v>
      </c>
      <c r="L411" s="61">
        <f>K411*係数!$H$30</f>
        <v>0</v>
      </c>
      <c r="M411" s="61">
        <f>K411*係数!$C$30*0.0000258</f>
        <v>0</v>
      </c>
      <c r="N411" s="12"/>
      <c r="O411" s="3"/>
      <c r="P411" s="3"/>
      <c r="Q411" s="84" t="s">
        <v>382</v>
      </c>
      <c r="R411" s="3"/>
      <c r="S411" s="488">
        <f t="shared" si="44"/>
        <v>0</v>
      </c>
      <c r="T411" s="8">
        <f t="shared" si="45"/>
        <v>0</v>
      </c>
      <c r="U411" s="61">
        <f>T411*係数!$H$30</f>
        <v>0</v>
      </c>
      <c r="V411" s="61">
        <f>T411*係数!$C$30*0.0000258</f>
        <v>0</v>
      </c>
      <c r="W411" s="8">
        <f t="shared" si="46"/>
        <v>0</v>
      </c>
      <c r="X411" s="272">
        <f t="shared" si="47"/>
        <v>0</v>
      </c>
      <c r="Y411" s="489">
        <f t="shared" si="48"/>
        <v>0</v>
      </c>
    </row>
    <row r="412" spans="2:25">
      <c r="B412" s="100" t="s">
        <v>738</v>
      </c>
      <c r="C412" s="12"/>
      <c r="D412" s="3"/>
      <c r="E412" s="77"/>
      <c r="F412" s="62"/>
      <c r="G412" s="62"/>
      <c r="H412" s="84" t="s">
        <v>382</v>
      </c>
      <c r="I412" s="3"/>
      <c r="J412" s="60">
        <f t="shared" si="49"/>
        <v>0</v>
      </c>
      <c r="K412" s="60">
        <f t="shared" si="43"/>
        <v>0</v>
      </c>
      <c r="L412" s="61">
        <f>K412*係数!$H$30</f>
        <v>0</v>
      </c>
      <c r="M412" s="61">
        <f>K412*係数!$C$30*0.0000258</f>
        <v>0</v>
      </c>
      <c r="N412" s="12"/>
      <c r="O412" s="3"/>
      <c r="P412" s="3"/>
      <c r="Q412" s="84" t="s">
        <v>382</v>
      </c>
      <c r="R412" s="3"/>
      <c r="S412" s="488">
        <f t="shared" si="44"/>
        <v>0</v>
      </c>
      <c r="T412" s="8">
        <f t="shared" si="45"/>
        <v>0</v>
      </c>
      <c r="U412" s="61">
        <f>T412*係数!$H$30</f>
        <v>0</v>
      </c>
      <c r="V412" s="61">
        <f>T412*係数!$C$30*0.0000258</f>
        <v>0</v>
      </c>
      <c r="W412" s="8">
        <f t="shared" si="46"/>
        <v>0</v>
      </c>
      <c r="X412" s="272">
        <f t="shared" si="47"/>
        <v>0</v>
      </c>
      <c r="Y412" s="489">
        <f t="shared" si="48"/>
        <v>0</v>
      </c>
    </row>
    <row r="413" spans="2:25">
      <c r="B413" s="100" t="s">
        <v>739</v>
      </c>
      <c r="C413" s="12"/>
      <c r="D413" s="3"/>
      <c r="E413" s="77"/>
      <c r="F413" s="62"/>
      <c r="G413" s="62"/>
      <c r="H413" s="84" t="s">
        <v>382</v>
      </c>
      <c r="I413" s="3"/>
      <c r="J413" s="60">
        <f t="shared" si="49"/>
        <v>0</v>
      </c>
      <c r="K413" s="60">
        <f t="shared" si="43"/>
        <v>0</v>
      </c>
      <c r="L413" s="61">
        <f>K413*係数!$H$30</f>
        <v>0</v>
      </c>
      <c r="M413" s="61">
        <f>K413*係数!$C$30*0.0000258</f>
        <v>0</v>
      </c>
      <c r="N413" s="12"/>
      <c r="O413" s="3"/>
      <c r="P413" s="3"/>
      <c r="Q413" s="84" t="s">
        <v>382</v>
      </c>
      <c r="R413" s="3"/>
      <c r="S413" s="488">
        <f t="shared" si="44"/>
        <v>0</v>
      </c>
      <c r="T413" s="8">
        <f t="shared" si="45"/>
        <v>0</v>
      </c>
      <c r="U413" s="61">
        <f>T413*係数!$H$30</f>
        <v>0</v>
      </c>
      <c r="V413" s="61">
        <f>T413*係数!$C$30*0.0000258</f>
        <v>0</v>
      </c>
      <c r="W413" s="8">
        <f t="shared" si="46"/>
        <v>0</v>
      </c>
      <c r="X413" s="272">
        <f t="shared" si="47"/>
        <v>0</v>
      </c>
      <c r="Y413" s="489">
        <f t="shared" si="48"/>
        <v>0</v>
      </c>
    </row>
    <row r="414" spans="2:25">
      <c r="B414" s="100" t="s">
        <v>740</v>
      </c>
      <c r="C414" s="12"/>
      <c r="D414" s="3"/>
      <c r="E414" s="77"/>
      <c r="F414" s="62"/>
      <c r="G414" s="62"/>
      <c r="H414" s="84" t="s">
        <v>382</v>
      </c>
      <c r="I414" s="3"/>
      <c r="J414" s="60">
        <f t="shared" si="49"/>
        <v>0</v>
      </c>
      <c r="K414" s="60">
        <f t="shared" si="43"/>
        <v>0</v>
      </c>
      <c r="L414" s="61">
        <f>K414*係数!$H$30</f>
        <v>0</v>
      </c>
      <c r="M414" s="61">
        <f>K414*係数!$C$30*0.0000258</f>
        <v>0</v>
      </c>
      <c r="N414" s="12"/>
      <c r="O414" s="3"/>
      <c r="P414" s="3"/>
      <c r="Q414" s="84" t="s">
        <v>382</v>
      </c>
      <c r="R414" s="3"/>
      <c r="S414" s="488">
        <f t="shared" si="44"/>
        <v>0</v>
      </c>
      <c r="T414" s="8">
        <f t="shared" si="45"/>
        <v>0</v>
      </c>
      <c r="U414" s="61">
        <f>T414*係数!$H$30</f>
        <v>0</v>
      </c>
      <c r="V414" s="61">
        <f>T414*係数!$C$30*0.0000258</f>
        <v>0</v>
      </c>
      <c r="W414" s="8">
        <f t="shared" si="46"/>
        <v>0</v>
      </c>
      <c r="X414" s="272">
        <f t="shared" si="47"/>
        <v>0</v>
      </c>
      <c r="Y414" s="489">
        <f t="shared" si="48"/>
        <v>0</v>
      </c>
    </row>
    <row r="415" spans="2:25">
      <c r="B415" s="100" t="s">
        <v>741</v>
      </c>
      <c r="C415" s="12"/>
      <c r="D415" s="3"/>
      <c r="E415" s="77"/>
      <c r="F415" s="62"/>
      <c r="G415" s="62"/>
      <c r="H415" s="84" t="s">
        <v>382</v>
      </c>
      <c r="I415" s="3"/>
      <c r="J415" s="60">
        <f t="shared" si="49"/>
        <v>0</v>
      </c>
      <c r="K415" s="60">
        <f t="shared" si="43"/>
        <v>0</v>
      </c>
      <c r="L415" s="61">
        <f>K415*係数!$H$30</f>
        <v>0</v>
      </c>
      <c r="M415" s="61">
        <f>K415*係数!$C$30*0.0000258</f>
        <v>0</v>
      </c>
      <c r="N415" s="12"/>
      <c r="O415" s="3"/>
      <c r="P415" s="3"/>
      <c r="Q415" s="84" t="s">
        <v>382</v>
      </c>
      <c r="R415" s="3"/>
      <c r="S415" s="488">
        <f t="shared" si="44"/>
        <v>0</v>
      </c>
      <c r="T415" s="8">
        <f t="shared" si="45"/>
        <v>0</v>
      </c>
      <c r="U415" s="61">
        <f>T415*係数!$H$30</f>
        <v>0</v>
      </c>
      <c r="V415" s="61">
        <f>T415*係数!$C$30*0.0000258</f>
        <v>0</v>
      </c>
      <c r="W415" s="8">
        <f t="shared" si="46"/>
        <v>0</v>
      </c>
      <c r="X415" s="272">
        <f t="shared" si="47"/>
        <v>0</v>
      </c>
      <c r="Y415" s="489">
        <f t="shared" si="48"/>
        <v>0</v>
      </c>
    </row>
    <row r="416" spans="2:25">
      <c r="B416" s="100" t="s">
        <v>742</v>
      </c>
      <c r="C416" s="12"/>
      <c r="D416" s="3"/>
      <c r="E416" s="77"/>
      <c r="F416" s="62"/>
      <c r="G416" s="62"/>
      <c r="H416" s="84" t="s">
        <v>382</v>
      </c>
      <c r="I416" s="3"/>
      <c r="J416" s="60">
        <f t="shared" si="49"/>
        <v>0</v>
      </c>
      <c r="K416" s="60">
        <f t="shared" si="43"/>
        <v>0</v>
      </c>
      <c r="L416" s="61">
        <f>K416*係数!$H$30</f>
        <v>0</v>
      </c>
      <c r="M416" s="61">
        <f>K416*係数!$C$30*0.0000258</f>
        <v>0</v>
      </c>
      <c r="N416" s="12"/>
      <c r="O416" s="3"/>
      <c r="P416" s="3"/>
      <c r="Q416" s="84" t="s">
        <v>382</v>
      </c>
      <c r="R416" s="3"/>
      <c r="S416" s="488">
        <f t="shared" si="44"/>
        <v>0</v>
      </c>
      <c r="T416" s="8">
        <f t="shared" si="45"/>
        <v>0</v>
      </c>
      <c r="U416" s="61">
        <f>T416*係数!$H$30</f>
        <v>0</v>
      </c>
      <c r="V416" s="61">
        <f>T416*係数!$C$30*0.0000258</f>
        <v>0</v>
      </c>
      <c r="W416" s="8">
        <f t="shared" si="46"/>
        <v>0</v>
      </c>
      <c r="X416" s="272">
        <f t="shared" si="47"/>
        <v>0</v>
      </c>
      <c r="Y416" s="489">
        <f t="shared" si="48"/>
        <v>0</v>
      </c>
    </row>
    <row r="417" spans="2:25">
      <c r="B417" s="100" t="s">
        <v>743</v>
      </c>
      <c r="C417" s="12"/>
      <c r="D417" s="3"/>
      <c r="E417" s="77"/>
      <c r="F417" s="62"/>
      <c r="G417" s="62"/>
      <c r="H417" s="84" t="s">
        <v>382</v>
      </c>
      <c r="I417" s="3"/>
      <c r="J417" s="60">
        <f t="shared" si="49"/>
        <v>0</v>
      </c>
      <c r="K417" s="60">
        <f t="shared" si="43"/>
        <v>0</v>
      </c>
      <c r="L417" s="61">
        <f>K417*係数!$H$30</f>
        <v>0</v>
      </c>
      <c r="M417" s="61">
        <f>K417*係数!$C$30*0.0000258</f>
        <v>0</v>
      </c>
      <c r="N417" s="12"/>
      <c r="O417" s="3"/>
      <c r="P417" s="3"/>
      <c r="Q417" s="84" t="s">
        <v>382</v>
      </c>
      <c r="R417" s="3"/>
      <c r="S417" s="488">
        <f t="shared" si="44"/>
        <v>0</v>
      </c>
      <c r="T417" s="8">
        <f t="shared" si="45"/>
        <v>0</v>
      </c>
      <c r="U417" s="61">
        <f>T417*係数!$H$30</f>
        <v>0</v>
      </c>
      <c r="V417" s="61">
        <f>T417*係数!$C$30*0.0000258</f>
        <v>0</v>
      </c>
      <c r="W417" s="8">
        <f t="shared" si="46"/>
        <v>0</v>
      </c>
      <c r="X417" s="272">
        <f t="shared" si="47"/>
        <v>0</v>
      </c>
      <c r="Y417" s="489">
        <f t="shared" si="48"/>
        <v>0</v>
      </c>
    </row>
    <row r="418" spans="2:25">
      <c r="B418" s="100" t="s">
        <v>744</v>
      </c>
      <c r="C418" s="12"/>
      <c r="D418" s="3"/>
      <c r="E418" s="77"/>
      <c r="F418" s="62"/>
      <c r="G418" s="62"/>
      <c r="H418" s="84" t="s">
        <v>382</v>
      </c>
      <c r="I418" s="3"/>
      <c r="J418" s="60">
        <f t="shared" si="49"/>
        <v>0</v>
      </c>
      <c r="K418" s="60">
        <f t="shared" si="43"/>
        <v>0</v>
      </c>
      <c r="L418" s="61">
        <f>K418*係数!$H$30</f>
        <v>0</v>
      </c>
      <c r="M418" s="61">
        <f>K418*係数!$C$30*0.0000258</f>
        <v>0</v>
      </c>
      <c r="N418" s="12"/>
      <c r="O418" s="3"/>
      <c r="P418" s="3"/>
      <c r="Q418" s="84" t="s">
        <v>382</v>
      </c>
      <c r="R418" s="3"/>
      <c r="S418" s="488">
        <f t="shared" si="44"/>
        <v>0</v>
      </c>
      <c r="T418" s="8">
        <f t="shared" si="45"/>
        <v>0</v>
      </c>
      <c r="U418" s="61">
        <f>T418*係数!$H$30</f>
        <v>0</v>
      </c>
      <c r="V418" s="61">
        <f>T418*係数!$C$30*0.0000258</f>
        <v>0</v>
      </c>
      <c r="W418" s="8">
        <f t="shared" si="46"/>
        <v>0</v>
      </c>
      <c r="X418" s="272">
        <f t="shared" si="47"/>
        <v>0</v>
      </c>
      <c r="Y418" s="489">
        <f t="shared" si="48"/>
        <v>0</v>
      </c>
    </row>
    <row r="419" spans="2:25">
      <c r="B419" s="100" t="s">
        <v>745</v>
      </c>
      <c r="C419" s="12"/>
      <c r="D419" s="3"/>
      <c r="E419" s="77"/>
      <c r="F419" s="62"/>
      <c r="G419" s="62"/>
      <c r="H419" s="84" t="s">
        <v>382</v>
      </c>
      <c r="I419" s="3"/>
      <c r="J419" s="60">
        <f t="shared" si="49"/>
        <v>0</v>
      </c>
      <c r="K419" s="60">
        <f t="shared" si="43"/>
        <v>0</v>
      </c>
      <c r="L419" s="61">
        <f>K419*係数!$H$30</f>
        <v>0</v>
      </c>
      <c r="M419" s="61">
        <f>K419*係数!$C$30*0.0000258</f>
        <v>0</v>
      </c>
      <c r="N419" s="12"/>
      <c r="O419" s="3"/>
      <c r="P419" s="3"/>
      <c r="Q419" s="84" t="s">
        <v>382</v>
      </c>
      <c r="R419" s="3"/>
      <c r="S419" s="488">
        <f t="shared" si="44"/>
        <v>0</v>
      </c>
      <c r="T419" s="8">
        <f t="shared" si="45"/>
        <v>0</v>
      </c>
      <c r="U419" s="61">
        <f>T419*係数!$H$30</f>
        <v>0</v>
      </c>
      <c r="V419" s="61">
        <f>T419*係数!$C$30*0.0000258</f>
        <v>0</v>
      </c>
      <c r="W419" s="8">
        <f t="shared" si="46"/>
        <v>0</v>
      </c>
      <c r="X419" s="272">
        <f t="shared" si="47"/>
        <v>0</v>
      </c>
      <c r="Y419" s="489">
        <f t="shared" si="48"/>
        <v>0</v>
      </c>
    </row>
    <row r="420" spans="2:25">
      <c r="B420" s="100" t="s">
        <v>764</v>
      </c>
      <c r="C420" s="12"/>
      <c r="D420" s="3"/>
      <c r="E420" s="77"/>
      <c r="F420" s="62"/>
      <c r="G420" s="62"/>
      <c r="H420" s="84" t="s">
        <v>382</v>
      </c>
      <c r="I420" s="3"/>
      <c r="J420" s="60">
        <f t="shared" si="49"/>
        <v>0</v>
      </c>
      <c r="K420" s="60">
        <f t="shared" si="43"/>
        <v>0</v>
      </c>
      <c r="L420" s="61">
        <f>K420*係数!$H$30</f>
        <v>0</v>
      </c>
      <c r="M420" s="61">
        <f>K420*係数!$C$30*0.0000258</f>
        <v>0</v>
      </c>
      <c r="N420" s="12"/>
      <c r="O420" s="3"/>
      <c r="P420" s="3"/>
      <c r="Q420" s="84" t="s">
        <v>382</v>
      </c>
      <c r="R420" s="3"/>
      <c r="S420" s="488">
        <f t="shared" si="44"/>
        <v>0</v>
      </c>
      <c r="T420" s="8">
        <f t="shared" si="45"/>
        <v>0</v>
      </c>
      <c r="U420" s="61">
        <f>T420*係数!$H$30</f>
        <v>0</v>
      </c>
      <c r="V420" s="61">
        <f>T420*係数!$C$30*0.0000258</f>
        <v>0</v>
      </c>
      <c r="W420" s="8">
        <f t="shared" si="46"/>
        <v>0</v>
      </c>
      <c r="X420" s="272">
        <f t="shared" si="47"/>
        <v>0</v>
      </c>
      <c r="Y420" s="489">
        <f t="shared" si="48"/>
        <v>0</v>
      </c>
    </row>
    <row r="421" spans="2:25">
      <c r="B421" s="100" t="s">
        <v>765</v>
      </c>
      <c r="C421" s="12"/>
      <c r="D421" s="3"/>
      <c r="E421" s="77"/>
      <c r="F421" s="62"/>
      <c r="G421" s="62"/>
      <c r="H421" s="84" t="s">
        <v>382</v>
      </c>
      <c r="I421" s="3"/>
      <c r="J421" s="60">
        <f t="shared" si="49"/>
        <v>0</v>
      </c>
      <c r="K421" s="60">
        <f t="shared" si="43"/>
        <v>0</v>
      </c>
      <c r="L421" s="61">
        <f>K421*係数!$H$30</f>
        <v>0</v>
      </c>
      <c r="M421" s="61">
        <f>K421*係数!$C$30*0.0000258</f>
        <v>0</v>
      </c>
      <c r="N421" s="12"/>
      <c r="O421" s="3"/>
      <c r="P421" s="3"/>
      <c r="Q421" s="84" t="s">
        <v>382</v>
      </c>
      <c r="R421" s="3"/>
      <c r="S421" s="488">
        <f t="shared" si="44"/>
        <v>0</v>
      </c>
      <c r="T421" s="8">
        <f t="shared" si="45"/>
        <v>0</v>
      </c>
      <c r="U421" s="61">
        <f>T421*係数!$H$30</f>
        <v>0</v>
      </c>
      <c r="V421" s="61">
        <f>T421*係数!$C$30*0.0000258</f>
        <v>0</v>
      </c>
      <c r="W421" s="8">
        <f t="shared" si="46"/>
        <v>0</v>
      </c>
      <c r="X421" s="272">
        <f t="shared" si="47"/>
        <v>0</v>
      </c>
      <c r="Y421" s="489">
        <f t="shared" si="48"/>
        <v>0</v>
      </c>
    </row>
    <row r="422" spans="2:25">
      <c r="B422" s="100" t="s">
        <v>766</v>
      </c>
      <c r="C422" s="12"/>
      <c r="D422" s="3"/>
      <c r="E422" s="77"/>
      <c r="F422" s="62"/>
      <c r="G422" s="62"/>
      <c r="H422" s="84" t="s">
        <v>382</v>
      </c>
      <c r="I422" s="3"/>
      <c r="J422" s="60">
        <f t="shared" si="49"/>
        <v>0</v>
      </c>
      <c r="K422" s="60">
        <f t="shared" si="43"/>
        <v>0</v>
      </c>
      <c r="L422" s="61">
        <f>K422*係数!$H$30</f>
        <v>0</v>
      </c>
      <c r="M422" s="61">
        <f>K422*係数!$C$30*0.0000258</f>
        <v>0</v>
      </c>
      <c r="N422" s="12"/>
      <c r="O422" s="3"/>
      <c r="P422" s="3"/>
      <c r="Q422" s="84" t="s">
        <v>382</v>
      </c>
      <c r="R422" s="3"/>
      <c r="S422" s="488">
        <f t="shared" si="44"/>
        <v>0</v>
      </c>
      <c r="T422" s="8">
        <f t="shared" si="45"/>
        <v>0</v>
      </c>
      <c r="U422" s="61">
        <f>T422*係数!$H$30</f>
        <v>0</v>
      </c>
      <c r="V422" s="61">
        <f>T422*係数!$C$30*0.0000258</f>
        <v>0</v>
      </c>
      <c r="W422" s="8">
        <f t="shared" si="46"/>
        <v>0</v>
      </c>
      <c r="X422" s="272">
        <f t="shared" si="47"/>
        <v>0</v>
      </c>
      <c r="Y422" s="489">
        <f t="shared" si="48"/>
        <v>0</v>
      </c>
    </row>
    <row r="423" spans="2:25">
      <c r="B423" s="100" t="s">
        <v>767</v>
      </c>
      <c r="C423" s="12"/>
      <c r="D423" s="3"/>
      <c r="E423" s="77"/>
      <c r="F423" s="62"/>
      <c r="G423" s="62"/>
      <c r="H423" s="84" t="s">
        <v>382</v>
      </c>
      <c r="I423" s="3"/>
      <c r="J423" s="60">
        <f t="shared" si="49"/>
        <v>0</v>
      </c>
      <c r="K423" s="60">
        <f t="shared" si="43"/>
        <v>0</v>
      </c>
      <c r="L423" s="61">
        <f>K423*係数!$H$30</f>
        <v>0</v>
      </c>
      <c r="M423" s="61">
        <f>K423*係数!$C$30*0.0000258</f>
        <v>0</v>
      </c>
      <c r="N423" s="12"/>
      <c r="O423" s="3"/>
      <c r="P423" s="3"/>
      <c r="Q423" s="84" t="s">
        <v>382</v>
      </c>
      <c r="R423" s="3"/>
      <c r="S423" s="488">
        <f t="shared" si="44"/>
        <v>0</v>
      </c>
      <c r="T423" s="8">
        <f t="shared" si="45"/>
        <v>0</v>
      </c>
      <c r="U423" s="61">
        <f>T423*係数!$H$30</f>
        <v>0</v>
      </c>
      <c r="V423" s="61">
        <f>T423*係数!$C$30*0.0000258</f>
        <v>0</v>
      </c>
      <c r="W423" s="8">
        <f t="shared" si="46"/>
        <v>0</v>
      </c>
      <c r="X423" s="272">
        <f t="shared" si="47"/>
        <v>0</v>
      </c>
      <c r="Y423" s="489">
        <f t="shared" si="48"/>
        <v>0</v>
      </c>
    </row>
    <row r="424" spans="2:25">
      <c r="B424" s="100" t="s">
        <v>768</v>
      </c>
      <c r="C424" s="12"/>
      <c r="D424" s="3"/>
      <c r="E424" s="77"/>
      <c r="F424" s="62"/>
      <c r="G424" s="62"/>
      <c r="H424" s="84" t="s">
        <v>382</v>
      </c>
      <c r="I424" s="3"/>
      <c r="J424" s="60">
        <f t="shared" si="49"/>
        <v>0</v>
      </c>
      <c r="K424" s="60">
        <f t="shared" si="43"/>
        <v>0</v>
      </c>
      <c r="L424" s="61">
        <f>K424*係数!$H$30</f>
        <v>0</v>
      </c>
      <c r="M424" s="61">
        <f>K424*係数!$C$30*0.0000258</f>
        <v>0</v>
      </c>
      <c r="N424" s="12"/>
      <c r="O424" s="3"/>
      <c r="P424" s="3"/>
      <c r="Q424" s="84" t="s">
        <v>382</v>
      </c>
      <c r="R424" s="3"/>
      <c r="S424" s="488">
        <f t="shared" si="44"/>
        <v>0</v>
      </c>
      <c r="T424" s="8">
        <f t="shared" si="45"/>
        <v>0</v>
      </c>
      <c r="U424" s="61">
        <f>T424*係数!$H$30</f>
        <v>0</v>
      </c>
      <c r="V424" s="61">
        <f>T424*係数!$C$30*0.0000258</f>
        <v>0</v>
      </c>
      <c r="W424" s="8">
        <f t="shared" si="46"/>
        <v>0</v>
      </c>
      <c r="X424" s="272">
        <f t="shared" si="47"/>
        <v>0</v>
      </c>
      <c r="Y424" s="489">
        <f t="shared" si="48"/>
        <v>0</v>
      </c>
    </row>
    <row r="425" spans="2:25">
      <c r="B425" s="100" t="s">
        <v>769</v>
      </c>
      <c r="C425" s="12"/>
      <c r="D425" s="3"/>
      <c r="E425" s="77"/>
      <c r="F425" s="62"/>
      <c r="G425" s="62"/>
      <c r="H425" s="84" t="s">
        <v>382</v>
      </c>
      <c r="I425" s="3"/>
      <c r="J425" s="60">
        <f t="shared" si="49"/>
        <v>0</v>
      </c>
      <c r="K425" s="60">
        <f t="shared" si="43"/>
        <v>0</v>
      </c>
      <c r="L425" s="61">
        <f>K425*係数!$H$30</f>
        <v>0</v>
      </c>
      <c r="M425" s="61">
        <f>K425*係数!$C$30*0.0000258</f>
        <v>0</v>
      </c>
      <c r="N425" s="12"/>
      <c r="O425" s="3"/>
      <c r="P425" s="3"/>
      <c r="Q425" s="84" t="s">
        <v>382</v>
      </c>
      <c r="R425" s="3"/>
      <c r="S425" s="488">
        <f t="shared" si="44"/>
        <v>0</v>
      </c>
      <c r="T425" s="8">
        <f t="shared" si="45"/>
        <v>0</v>
      </c>
      <c r="U425" s="61">
        <f>T425*係数!$H$30</f>
        <v>0</v>
      </c>
      <c r="V425" s="61">
        <f>T425*係数!$C$30*0.0000258</f>
        <v>0</v>
      </c>
      <c r="W425" s="8">
        <f t="shared" si="46"/>
        <v>0</v>
      </c>
      <c r="X425" s="272">
        <f t="shared" si="47"/>
        <v>0</v>
      </c>
      <c r="Y425" s="489">
        <f t="shared" si="48"/>
        <v>0</v>
      </c>
    </row>
    <row r="426" spans="2:25">
      <c r="B426" s="100" t="s">
        <v>770</v>
      </c>
      <c r="C426" s="12"/>
      <c r="D426" s="3"/>
      <c r="E426" s="77"/>
      <c r="F426" s="62"/>
      <c r="G426" s="62"/>
      <c r="H426" s="84" t="s">
        <v>382</v>
      </c>
      <c r="I426" s="3"/>
      <c r="J426" s="60">
        <f t="shared" si="49"/>
        <v>0</v>
      </c>
      <c r="K426" s="60">
        <f t="shared" si="43"/>
        <v>0</v>
      </c>
      <c r="L426" s="61">
        <f>K426*係数!$H$30</f>
        <v>0</v>
      </c>
      <c r="M426" s="61">
        <f>K426*係数!$C$30*0.0000258</f>
        <v>0</v>
      </c>
      <c r="N426" s="12"/>
      <c r="O426" s="3"/>
      <c r="P426" s="3"/>
      <c r="Q426" s="84" t="s">
        <v>382</v>
      </c>
      <c r="R426" s="3"/>
      <c r="S426" s="488">
        <f t="shared" si="44"/>
        <v>0</v>
      </c>
      <c r="T426" s="8">
        <f t="shared" si="45"/>
        <v>0</v>
      </c>
      <c r="U426" s="61">
        <f>T426*係数!$H$30</f>
        <v>0</v>
      </c>
      <c r="V426" s="61">
        <f>T426*係数!$C$30*0.0000258</f>
        <v>0</v>
      </c>
      <c r="W426" s="8">
        <f t="shared" si="46"/>
        <v>0</v>
      </c>
      <c r="X426" s="272">
        <f t="shared" si="47"/>
        <v>0</v>
      </c>
      <c r="Y426" s="489">
        <f t="shared" si="48"/>
        <v>0</v>
      </c>
    </row>
    <row r="427" spans="2:25">
      <c r="B427" s="100" t="s">
        <v>771</v>
      </c>
      <c r="C427" s="12"/>
      <c r="D427" s="3"/>
      <c r="E427" s="77"/>
      <c r="F427" s="62"/>
      <c r="G427" s="62"/>
      <c r="H427" s="84" t="s">
        <v>382</v>
      </c>
      <c r="I427" s="3"/>
      <c r="J427" s="60">
        <f t="shared" si="49"/>
        <v>0</v>
      </c>
      <c r="K427" s="60">
        <f t="shared" si="43"/>
        <v>0</v>
      </c>
      <c r="L427" s="61">
        <f>K427*係数!$H$30</f>
        <v>0</v>
      </c>
      <c r="M427" s="61">
        <f>K427*係数!$C$30*0.0000258</f>
        <v>0</v>
      </c>
      <c r="N427" s="12"/>
      <c r="O427" s="3"/>
      <c r="P427" s="3"/>
      <c r="Q427" s="84" t="s">
        <v>382</v>
      </c>
      <c r="R427" s="3"/>
      <c r="S427" s="488">
        <f t="shared" si="44"/>
        <v>0</v>
      </c>
      <c r="T427" s="8">
        <f t="shared" si="45"/>
        <v>0</v>
      </c>
      <c r="U427" s="61">
        <f>T427*係数!$H$30</f>
        <v>0</v>
      </c>
      <c r="V427" s="61">
        <f>T427*係数!$C$30*0.0000258</f>
        <v>0</v>
      </c>
      <c r="W427" s="8">
        <f t="shared" si="46"/>
        <v>0</v>
      </c>
      <c r="X427" s="272">
        <f t="shared" si="47"/>
        <v>0</v>
      </c>
      <c r="Y427" s="489">
        <f t="shared" si="48"/>
        <v>0</v>
      </c>
    </row>
    <row r="428" spans="2:25">
      <c r="B428" s="100" t="s">
        <v>772</v>
      </c>
      <c r="C428" s="12"/>
      <c r="D428" s="3"/>
      <c r="E428" s="77"/>
      <c r="F428" s="62"/>
      <c r="G428" s="62"/>
      <c r="H428" s="84" t="s">
        <v>382</v>
      </c>
      <c r="I428" s="3"/>
      <c r="J428" s="60">
        <f t="shared" si="49"/>
        <v>0</v>
      </c>
      <c r="K428" s="60">
        <f t="shared" si="43"/>
        <v>0</v>
      </c>
      <c r="L428" s="61">
        <f>K428*係数!$H$30</f>
        <v>0</v>
      </c>
      <c r="M428" s="61">
        <f>K428*係数!$C$30*0.0000258</f>
        <v>0</v>
      </c>
      <c r="N428" s="12"/>
      <c r="O428" s="3"/>
      <c r="P428" s="3"/>
      <c r="Q428" s="84" t="s">
        <v>382</v>
      </c>
      <c r="R428" s="3"/>
      <c r="S428" s="488">
        <f t="shared" si="44"/>
        <v>0</v>
      </c>
      <c r="T428" s="8">
        <f t="shared" si="45"/>
        <v>0</v>
      </c>
      <c r="U428" s="61">
        <f>T428*係数!$H$30</f>
        <v>0</v>
      </c>
      <c r="V428" s="61">
        <f>T428*係数!$C$30*0.0000258</f>
        <v>0</v>
      </c>
      <c r="W428" s="8">
        <f t="shared" si="46"/>
        <v>0</v>
      </c>
      <c r="X428" s="272">
        <f t="shared" si="47"/>
        <v>0</v>
      </c>
      <c r="Y428" s="489">
        <f t="shared" si="48"/>
        <v>0</v>
      </c>
    </row>
    <row r="429" spans="2:25">
      <c r="B429" s="100" t="s">
        <v>773</v>
      </c>
      <c r="C429" s="12"/>
      <c r="D429" s="3"/>
      <c r="E429" s="77"/>
      <c r="F429" s="62"/>
      <c r="G429" s="62"/>
      <c r="H429" s="84" t="s">
        <v>382</v>
      </c>
      <c r="I429" s="3"/>
      <c r="J429" s="60">
        <f t="shared" si="49"/>
        <v>0</v>
      </c>
      <c r="K429" s="60">
        <f t="shared" si="43"/>
        <v>0</v>
      </c>
      <c r="L429" s="61">
        <f>K429*係数!$H$30</f>
        <v>0</v>
      </c>
      <c r="M429" s="61">
        <f>K429*係数!$C$30*0.0000258</f>
        <v>0</v>
      </c>
      <c r="N429" s="12"/>
      <c r="O429" s="3"/>
      <c r="P429" s="3"/>
      <c r="Q429" s="84" t="s">
        <v>382</v>
      </c>
      <c r="R429" s="3"/>
      <c r="S429" s="488">
        <f t="shared" si="44"/>
        <v>0</v>
      </c>
      <c r="T429" s="8">
        <f t="shared" si="45"/>
        <v>0</v>
      </c>
      <c r="U429" s="61">
        <f>T429*係数!$H$30</f>
        <v>0</v>
      </c>
      <c r="V429" s="61">
        <f>T429*係数!$C$30*0.0000258</f>
        <v>0</v>
      </c>
      <c r="W429" s="8">
        <f t="shared" si="46"/>
        <v>0</v>
      </c>
      <c r="X429" s="272">
        <f t="shared" si="47"/>
        <v>0</v>
      </c>
      <c r="Y429" s="489">
        <f t="shared" si="48"/>
        <v>0</v>
      </c>
    </row>
    <row r="430" spans="2:25">
      <c r="B430" s="100" t="s">
        <v>774</v>
      </c>
      <c r="C430" s="12"/>
      <c r="D430" s="3"/>
      <c r="E430" s="77"/>
      <c r="F430" s="62"/>
      <c r="G430" s="62"/>
      <c r="H430" s="84" t="s">
        <v>382</v>
      </c>
      <c r="I430" s="3"/>
      <c r="J430" s="60">
        <f t="shared" si="49"/>
        <v>0</v>
      </c>
      <c r="K430" s="60">
        <f t="shared" si="43"/>
        <v>0</v>
      </c>
      <c r="L430" s="61">
        <f>K430*係数!$H$30</f>
        <v>0</v>
      </c>
      <c r="M430" s="61">
        <f>K430*係数!$C$30*0.0000258</f>
        <v>0</v>
      </c>
      <c r="N430" s="12"/>
      <c r="O430" s="3"/>
      <c r="P430" s="3"/>
      <c r="Q430" s="84" t="s">
        <v>382</v>
      </c>
      <c r="R430" s="3"/>
      <c r="S430" s="488">
        <f t="shared" si="44"/>
        <v>0</v>
      </c>
      <c r="T430" s="8">
        <f t="shared" si="45"/>
        <v>0</v>
      </c>
      <c r="U430" s="61">
        <f>T430*係数!$H$30</f>
        <v>0</v>
      </c>
      <c r="V430" s="61">
        <f>T430*係数!$C$30*0.0000258</f>
        <v>0</v>
      </c>
      <c r="W430" s="8">
        <f t="shared" si="46"/>
        <v>0</v>
      </c>
      <c r="X430" s="272">
        <f t="shared" si="47"/>
        <v>0</v>
      </c>
      <c r="Y430" s="489">
        <f t="shared" si="48"/>
        <v>0</v>
      </c>
    </row>
    <row r="431" spans="2:25">
      <c r="B431" s="100" t="s">
        <v>775</v>
      </c>
      <c r="C431" s="12"/>
      <c r="D431" s="3"/>
      <c r="E431" s="77"/>
      <c r="F431" s="62"/>
      <c r="G431" s="62"/>
      <c r="H431" s="84" t="s">
        <v>382</v>
      </c>
      <c r="I431" s="3"/>
      <c r="J431" s="60">
        <f t="shared" si="49"/>
        <v>0</v>
      </c>
      <c r="K431" s="60">
        <f t="shared" si="43"/>
        <v>0</v>
      </c>
      <c r="L431" s="61">
        <f>K431*係数!$H$30</f>
        <v>0</v>
      </c>
      <c r="M431" s="61">
        <f>K431*係数!$C$30*0.0000258</f>
        <v>0</v>
      </c>
      <c r="N431" s="12"/>
      <c r="O431" s="3"/>
      <c r="P431" s="3"/>
      <c r="Q431" s="84" t="s">
        <v>382</v>
      </c>
      <c r="R431" s="3"/>
      <c r="S431" s="488">
        <f t="shared" si="44"/>
        <v>0</v>
      </c>
      <c r="T431" s="8">
        <f t="shared" si="45"/>
        <v>0</v>
      </c>
      <c r="U431" s="61">
        <f>T431*係数!$H$30</f>
        <v>0</v>
      </c>
      <c r="V431" s="61">
        <f>T431*係数!$C$30*0.0000258</f>
        <v>0</v>
      </c>
      <c r="W431" s="8">
        <f t="shared" si="46"/>
        <v>0</v>
      </c>
      <c r="X431" s="272">
        <f t="shared" si="47"/>
        <v>0</v>
      </c>
      <c r="Y431" s="489">
        <f t="shared" si="48"/>
        <v>0</v>
      </c>
    </row>
    <row r="432" spans="2:25">
      <c r="B432" s="100" t="s">
        <v>776</v>
      </c>
      <c r="C432" s="12"/>
      <c r="D432" s="3"/>
      <c r="E432" s="77"/>
      <c r="F432" s="62"/>
      <c r="G432" s="62"/>
      <c r="H432" s="84" t="s">
        <v>382</v>
      </c>
      <c r="I432" s="3"/>
      <c r="J432" s="60">
        <f t="shared" si="49"/>
        <v>0</v>
      </c>
      <c r="K432" s="60">
        <f t="shared" si="43"/>
        <v>0</v>
      </c>
      <c r="L432" s="61">
        <f>K432*係数!$H$30</f>
        <v>0</v>
      </c>
      <c r="M432" s="61">
        <f>K432*係数!$C$30*0.0000258</f>
        <v>0</v>
      </c>
      <c r="N432" s="12"/>
      <c r="O432" s="3"/>
      <c r="P432" s="3"/>
      <c r="Q432" s="84" t="s">
        <v>382</v>
      </c>
      <c r="R432" s="3"/>
      <c r="S432" s="488">
        <f t="shared" si="44"/>
        <v>0</v>
      </c>
      <c r="T432" s="8">
        <f t="shared" si="45"/>
        <v>0</v>
      </c>
      <c r="U432" s="61">
        <f>T432*係数!$H$30</f>
        <v>0</v>
      </c>
      <c r="V432" s="61">
        <f>T432*係数!$C$30*0.0000258</f>
        <v>0</v>
      </c>
      <c r="W432" s="8">
        <f t="shared" si="46"/>
        <v>0</v>
      </c>
      <c r="X432" s="272">
        <f t="shared" si="47"/>
        <v>0</v>
      </c>
      <c r="Y432" s="489">
        <f t="shared" si="48"/>
        <v>0</v>
      </c>
    </row>
    <row r="433" spans="2:25">
      <c r="B433" s="100" t="s">
        <v>777</v>
      </c>
      <c r="C433" s="12"/>
      <c r="D433" s="3"/>
      <c r="E433" s="77"/>
      <c r="F433" s="62"/>
      <c r="G433" s="62"/>
      <c r="H433" s="84" t="s">
        <v>382</v>
      </c>
      <c r="I433" s="3"/>
      <c r="J433" s="60">
        <f t="shared" si="49"/>
        <v>0</v>
      </c>
      <c r="K433" s="60">
        <f t="shared" si="43"/>
        <v>0</v>
      </c>
      <c r="L433" s="61">
        <f>K433*係数!$H$30</f>
        <v>0</v>
      </c>
      <c r="M433" s="61">
        <f>K433*係数!$C$30*0.0000258</f>
        <v>0</v>
      </c>
      <c r="N433" s="12"/>
      <c r="O433" s="3"/>
      <c r="P433" s="3"/>
      <c r="Q433" s="84" t="s">
        <v>382</v>
      </c>
      <c r="R433" s="3"/>
      <c r="S433" s="488">
        <f t="shared" si="44"/>
        <v>0</v>
      </c>
      <c r="T433" s="8">
        <f t="shared" si="45"/>
        <v>0</v>
      </c>
      <c r="U433" s="61">
        <f>T433*係数!$H$30</f>
        <v>0</v>
      </c>
      <c r="V433" s="61">
        <f>T433*係数!$C$30*0.0000258</f>
        <v>0</v>
      </c>
      <c r="W433" s="8">
        <f t="shared" si="46"/>
        <v>0</v>
      </c>
      <c r="X433" s="272">
        <f t="shared" si="47"/>
        <v>0</v>
      </c>
      <c r="Y433" s="489">
        <f t="shared" si="48"/>
        <v>0</v>
      </c>
    </row>
    <row r="434" spans="2:25">
      <c r="B434" s="100" t="s">
        <v>778</v>
      </c>
      <c r="C434" s="12"/>
      <c r="D434" s="3"/>
      <c r="E434" s="77"/>
      <c r="F434" s="62"/>
      <c r="G434" s="62"/>
      <c r="H434" s="84" t="s">
        <v>382</v>
      </c>
      <c r="I434" s="3"/>
      <c r="J434" s="60">
        <f t="shared" si="49"/>
        <v>0</v>
      </c>
      <c r="K434" s="60">
        <f t="shared" si="43"/>
        <v>0</v>
      </c>
      <c r="L434" s="61">
        <f>K434*係数!$H$30</f>
        <v>0</v>
      </c>
      <c r="M434" s="61">
        <f>K434*係数!$C$30*0.0000258</f>
        <v>0</v>
      </c>
      <c r="N434" s="12"/>
      <c r="O434" s="3"/>
      <c r="P434" s="3"/>
      <c r="Q434" s="84" t="s">
        <v>382</v>
      </c>
      <c r="R434" s="3"/>
      <c r="S434" s="488">
        <f t="shared" si="44"/>
        <v>0</v>
      </c>
      <c r="T434" s="8">
        <f t="shared" si="45"/>
        <v>0</v>
      </c>
      <c r="U434" s="61">
        <f>T434*係数!$H$30</f>
        <v>0</v>
      </c>
      <c r="V434" s="61">
        <f>T434*係数!$C$30*0.0000258</f>
        <v>0</v>
      </c>
      <c r="W434" s="8">
        <f t="shared" si="46"/>
        <v>0</v>
      </c>
      <c r="X434" s="272">
        <f t="shared" si="47"/>
        <v>0</v>
      </c>
      <c r="Y434" s="489">
        <f t="shared" si="48"/>
        <v>0</v>
      </c>
    </row>
    <row r="435" spans="2:25">
      <c r="B435" s="100" t="s">
        <v>779</v>
      </c>
      <c r="C435" s="12"/>
      <c r="D435" s="3"/>
      <c r="E435" s="77"/>
      <c r="F435" s="62"/>
      <c r="G435" s="62"/>
      <c r="H435" s="84" t="s">
        <v>382</v>
      </c>
      <c r="I435" s="3"/>
      <c r="J435" s="60">
        <f t="shared" si="49"/>
        <v>0</v>
      </c>
      <c r="K435" s="60">
        <f t="shared" si="43"/>
        <v>0</v>
      </c>
      <c r="L435" s="61">
        <f>K435*係数!$H$30</f>
        <v>0</v>
      </c>
      <c r="M435" s="61">
        <f>K435*係数!$C$30*0.0000258</f>
        <v>0</v>
      </c>
      <c r="N435" s="12"/>
      <c r="O435" s="3"/>
      <c r="P435" s="3"/>
      <c r="Q435" s="84" t="s">
        <v>382</v>
      </c>
      <c r="R435" s="3"/>
      <c r="S435" s="488">
        <f t="shared" si="44"/>
        <v>0</v>
      </c>
      <c r="T435" s="8">
        <f t="shared" si="45"/>
        <v>0</v>
      </c>
      <c r="U435" s="61">
        <f>T435*係数!$H$30</f>
        <v>0</v>
      </c>
      <c r="V435" s="61">
        <f>T435*係数!$C$30*0.0000258</f>
        <v>0</v>
      </c>
      <c r="W435" s="8">
        <f t="shared" si="46"/>
        <v>0</v>
      </c>
      <c r="X435" s="272">
        <f t="shared" si="47"/>
        <v>0</v>
      </c>
      <c r="Y435" s="489">
        <f t="shared" si="48"/>
        <v>0</v>
      </c>
    </row>
    <row r="436" spans="2:25">
      <c r="B436" s="100" t="s">
        <v>780</v>
      </c>
      <c r="C436" s="12"/>
      <c r="D436" s="3"/>
      <c r="E436" s="77"/>
      <c r="F436" s="62"/>
      <c r="G436" s="62"/>
      <c r="H436" s="84" t="s">
        <v>382</v>
      </c>
      <c r="I436" s="3"/>
      <c r="J436" s="60">
        <f t="shared" si="49"/>
        <v>0</v>
      </c>
      <c r="K436" s="60">
        <f t="shared" si="43"/>
        <v>0</v>
      </c>
      <c r="L436" s="61">
        <f>K436*係数!$H$30</f>
        <v>0</v>
      </c>
      <c r="M436" s="61">
        <f>K436*係数!$C$30*0.0000258</f>
        <v>0</v>
      </c>
      <c r="N436" s="12"/>
      <c r="O436" s="3"/>
      <c r="P436" s="3"/>
      <c r="Q436" s="84" t="s">
        <v>382</v>
      </c>
      <c r="R436" s="3"/>
      <c r="S436" s="488">
        <f t="shared" si="44"/>
        <v>0</v>
      </c>
      <c r="T436" s="8">
        <f t="shared" si="45"/>
        <v>0</v>
      </c>
      <c r="U436" s="61">
        <f>T436*係数!$H$30</f>
        <v>0</v>
      </c>
      <c r="V436" s="61">
        <f>T436*係数!$C$30*0.0000258</f>
        <v>0</v>
      </c>
      <c r="W436" s="8">
        <f t="shared" si="46"/>
        <v>0</v>
      </c>
      <c r="X436" s="272">
        <f t="shared" si="47"/>
        <v>0</v>
      </c>
      <c r="Y436" s="489">
        <f t="shared" si="48"/>
        <v>0</v>
      </c>
    </row>
    <row r="437" spans="2:25">
      <c r="B437" s="100" t="s">
        <v>781</v>
      </c>
      <c r="C437" s="12"/>
      <c r="D437" s="3"/>
      <c r="E437" s="77"/>
      <c r="F437" s="62"/>
      <c r="G437" s="62"/>
      <c r="H437" s="84" t="s">
        <v>382</v>
      </c>
      <c r="I437" s="3"/>
      <c r="J437" s="60">
        <f t="shared" si="49"/>
        <v>0</v>
      </c>
      <c r="K437" s="60">
        <f t="shared" si="43"/>
        <v>0</v>
      </c>
      <c r="L437" s="61">
        <f>K437*係数!$H$30</f>
        <v>0</v>
      </c>
      <c r="M437" s="61">
        <f>K437*係数!$C$30*0.0000258</f>
        <v>0</v>
      </c>
      <c r="N437" s="12"/>
      <c r="O437" s="3"/>
      <c r="P437" s="3"/>
      <c r="Q437" s="84" t="s">
        <v>382</v>
      </c>
      <c r="R437" s="3"/>
      <c r="S437" s="488">
        <f t="shared" si="44"/>
        <v>0</v>
      </c>
      <c r="T437" s="8">
        <f t="shared" si="45"/>
        <v>0</v>
      </c>
      <c r="U437" s="61">
        <f>T437*係数!$H$30</f>
        <v>0</v>
      </c>
      <c r="V437" s="61">
        <f>T437*係数!$C$30*0.0000258</f>
        <v>0</v>
      </c>
      <c r="W437" s="8">
        <f t="shared" si="46"/>
        <v>0</v>
      </c>
      <c r="X437" s="272">
        <f t="shared" si="47"/>
        <v>0</v>
      </c>
      <c r="Y437" s="489">
        <f t="shared" si="48"/>
        <v>0</v>
      </c>
    </row>
    <row r="438" spans="2:25">
      <c r="B438" s="100" t="s">
        <v>782</v>
      </c>
      <c r="C438" s="12"/>
      <c r="D438" s="3"/>
      <c r="E438" s="77"/>
      <c r="F438" s="62"/>
      <c r="G438" s="62"/>
      <c r="H438" s="84" t="s">
        <v>382</v>
      </c>
      <c r="I438" s="3"/>
      <c r="J438" s="60">
        <f t="shared" si="49"/>
        <v>0</v>
      </c>
      <c r="K438" s="60">
        <f t="shared" si="43"/>
        <v>0</v>
      </c>
      <c r="L438" s="61">
        <f>K438*係数!$H$30</f>
        <v>0</v>
      </c>
      <c r="M438" s="61">
        <f>K438*係数!$C$30*0.0000258</f>
        <v>0</v>
      </c>
      <c r="N438" s="12"/>
      <c r="O438" s="3"/>
      <c r="P438" s="3"/>
      <c r="Q438" s="84" t="s">
        <v>382</v>
      </c>
      <c r="R438" s="3"/>
      <c r="S438" s="488">
        <f t="shared" si="44"/>
        <v>0</v>
      </c>
      <c r="T438" s="8">
        <f t="shared" si="45"/>
        <v>0</v>
      </c>
      <c r="U438" s="61">
        <f>T438*係数!$H$30</f>
        <v>0</v>
      </c>
      <c r="V438" s="61">
        <f>T438*係数!$C$30*0.0000258</f>
        <v>0</v>
      </c>
      <c r="W438" s="8">
        <f t="shared" si="46"/>
        <v>0</v>
      </c>
      <c r="X438" s="272">
        <f t="shared" si="47"/>
        <v>0</v>
      </c>
      <c r="Y438" s="489">
        <f t="shared" si="48"/>
        <v>0</v>
      </c>
    </row>
    <row r="439" spans="2:25">
      <c r="B439" s="100" t="s">
        <v>783</v>
      </c>
      <c r="C439" s="12"/>
      <c r="D439" s="3"/>
      <c r="E439" s="77"/>
      <c r="F439" s="62"/>
      <c r="G439" s="62"/>
      <c r="H439" s="84" t="s">
        <v>382</v>
      </c>
      <c r="I439" s="3"/>
      <c r="J439" s="60">
        <f t="shared" si="49"/>
        <v>0</v>
      </c>
      <c r="K439" s="60">
        <f t="shared" si="43"/>
        <v>0</v>
      </c>
      <c r="L439" s="61">
        <f>K439*係数!$H$30</f>
        <v>0</v>
      </c>
      <c r="M439" s="61">
        <f>K439*係数!$C$30*0.0000258</f>
        <v>0</v>
      </c>
      <c r="N439" s="12"/>
      <c r="O439" s="3"/>
      <c r="P439" s="3"/>
      <c r="Q439" s="84" t="s">
        <v>382</v>
      </c>
      <c r="R439" s="3"/>
      <c r="S439" s="488">
        <f t="shared" si="44"/>
        <v>0</v>
      </c>
      <c r="T439" s="8">
        <f t="shared" si="45"/>
        <v>0</v>
      </c>
      <c r="U439" s="61">
        <f>T439*係数!$H$30</f>
        <v>0</v>
      </c>
      <c r="V439" s="61">
        <f>T439*係数!$C$30*0.0000258</f>
        <v>0</v>
      </c>
      <c r="W439" s="8">
        <f t="shared" si="46"/>
        <v>0</v>
      </c>
      <c r="X439" s="272">
        <f t="shared" si="47"/>
        <v>0</v>
      </c>
      <c r="Y439" s="489">
        <f t="shared" si="48"/>
        <v>0</v>
      </c>
    </row>
    <row r="440" spans="2:25">
      <c r="B440" s="100" t="s">
        <v>784</v>
      </c>
      <c r="C440" s="12"/>
      <c r="D440" s="3"/>
      <c r="E440" s="77"/>
      <c r="F440" s="62"/>
      <c r="G440" s="62"/>
      <c r="H440" s="84" t="s">
        <v>382</v>
      </c>
      <c r="I440" s="3"/>
      <c r="J440" s="60">
        <f t="shared" si="49"/>
        <v>0</v>
      </c>
      <c r="K440" s="60">
        <f t="shared" si="43"/>
        <v>0</v>
      </c>
      <c r="L440" s="61">
        <f>K440*係数!$H$30</f>
        <v>0</v>
      </c>
      <c r="M440" s="61">
        <f>K440*係数!$C$30*0.0000258</f>
        <v>0</v>
      </c>
      <c r="N440" s="12"/>
      <c r="O440" s="3"/>
      <c r="P440" s="3"/>
      <c r="Q440" s="84" t="s">
        <v>382</v>
      </c>
      <c r="R440" s="3"/>
      <c r="S440" s="488">
        <f t="shared" si="44"/>
        <v>0</v>
      </c>
      <c r="T440" s="8">
        <f t="shared" si="45"/>
        <v>0</v>
      </c>
      <c r="U440" s="61">
        <f>T440*係数!$H$30</f>
        <v>0</v>
      </c>
      <c r="V440" s="61">
        <f>T440*係数!$C$30*0.0000258</f>
        <v>0</v>
      </c>
      <c r="W440" s="8">
        <f t="shared" si="46"/>
        <v>0</v>
      </c>
      <c r="X440" s="272">
        <f t="shared" si="47"/>
        <v>0</v>
      </c>
      <c r="Y440" s="489">
        <f t="shared" si="48"/>
        <v>0</v>
      </c>
    </row>
    <row r="441" spans="2:25">
      <c r="B441" s="100" t="s">
        <v>785</v>
      </c>
      <c r="C441" s="12"/>
      <c r="D441" s="3"/>
      <c r="E441" s="77"/>
      <c r="F441" s="62"/>
      <c r="G441" s="62"/>
      <c r="H441" s="84" t="s">
        <v>382</v>
      </c>
      <c r="I441" s="3"/>
      <c r="J441" s="60">
        <f t="shared" si="49"/>
        <v>0</v>
      </c>
      <c r="K441" s="60">
        <f t="shared" si="43"/>
        <v>0</v>
      </c>
      <c r="L441" s="61">
        <f>K441*係数!$H$30</f>
        <v>0</v>
      </c>
      <c r="M441" s="61">
        <f>K441*係数!$C$30*0.0000258</f>
        <v>0</v>
      </c>
      <c r="N441" s="12"/>
      <c r="O441" s="3"/>
      <c r="P441" s="3"/>
      <c r="Q441" s="84" t="s">
        <v>382</v>
      </c>
      <c r="R441" s="3"/>
      <c r="S441" s="488">
        <f t="shared" si="44"/>
        <v>0</v>
      </c>
      <c r="T441" s="8">
        <f t="shared" si="45"/>
        <v>0</v>
      </c>
      <c r="U441" s="61">
        <f>T441*係数!$H$30</f>
        <v>0</v>
      </c>
      <c r="V441" s="61">
        <f>T441*係数!$C$30*0.0000258</f>
        <v>0</v>
      </c>
      <c r="W441" s="8">
        <f t="shared" si="46"/>
        <v>0</v>
      </c>
      <c r="X441" s="272">
        <f t="shared" si="47"/>
        <v>0</v>
      </c>
      <c r="Y441" s="489">
        <f t="shared" si="48"/>
        <v>0</v>
      </c>
    </row>
    <row r="442" spans="2:25">
      <c r="B442" s="100" t="s">
        <v>786</v>
      </c>
      <c r="C442" s="12"/>
      <c r="D442" s="3"/>
      <c r="E442" s="77"/>
      <c r="F442" s="62"/>
      <c r="G442" s="62"/>
      <c r="H442" s="84" t="s">
        <v>382</v>
      </c>
      <c r="I442" s="3"/>
      <c r="J442" s="60">
        <f t="shared" si="49"/>
        <v>0</v>
      </c>
      <c r="K442" s="60">
        <f t="shared" si="43"/>
        <v>0</v>
      </c>
      <c r="L442" s="61">
        <f>K442*係数!$H$30</f>
        <v>0</v>
      </c>
      <c r="M442" s="61">
        <f>K442*係数!$C$30*0.0000258</f>
        <v>0</v>
      </c>
      <c r="N442" s="12"/>
      <c r="O442" s="3"/>
      <c r="P442" s="3"/>
      <c r="Q442" s="84" t="s">
        <v>382</v>
      </c>
      <c r="R442" s="3"/>
      <c r="S442" s="488">
        <f t="shared" si="44"/>
        <v>0</v>
      </c>
      <c r="T442" s="8">
        <f t="shared" si="45"/>
        <v>0</v>
      </c>
      <c r="U442" s="61">
        <f>T442*係数!$H$30</f>
        <v>0</v>
      </c>
      <c r="V442" s="61">
        <f>T442*係数!$C$30*0.0000258</f>
        <v>0</v>
      </c>
      <c r="W442" s="8">
        <f t="shared" si="46"/>
        <v>0</v>
      </c>
      <c r="X442" s="272">
        <f t="shared" si="47"/>
        <v>0</v>
      </c>
      <c r="Y442" s="489">
        <f t="shared" si="48"/>
        <v>0</v>
      </c>
    </row>
    <row r="443" spans="2:25">
      <c r="B443" s="100" t="s">
        <v>787</v>
      </c>
      <c r="C443" s="12"/>
      <c r="D443" s="3"/>
      <c r="E443" s="77"/>
      <c r="F443" s="62"/>
      <c r="G443" s="62"/>
      <c r="H443" s="84" t="s">
        <v>382</v>
      </c>
      <c r="I443" s="3"/>
      <c r="J443" s="60">
        <f t="shared" si="49"/>
        <v>0</v>
      </c>
      <c r="K443" s="60">
        <f t="shared" si="43"/>
        <v>0</v>
      </c>
      <c r="L443" s="61">
        <f>K443*係数!$H$30</f>
        <v>0</v>
      </c>
      <c r="M443" s="61">
        <f>K443*係数!$C$30*0.0000258</f>
        <v>0</v>
      </c>
      <c r="N443" s="12"/>
      <c r="O443" s="3"/>
      <c r="P443" s="3"/>
      <c r="Q443" s="84" t="s">
        <v>382</v>
      </c>
      <c r="R443" s="3"/>
      <c r="S443" s="488">
        <f t="shared" si="44"/>
        <v>0</v>
      </c>
      <c r="T443" s="8">
        <f t="shared" si="45"/>
        <v>0</v>
      </c>
      <c r="U443" s="61">
        <f>T443*係数!$H$30</f>
        <v>0</v>
      </c>
      <c r="V443" s="61">
        <f>T443*係数!$C$30*0.0000258</f>
        <v>0</v>
      </c>
      <c r="W443" s="8">
        <f t="shared" si="46"/>
        <v>0</v>
      </c>
      <c r="X443" s="272">
        <f t="shared" si="47"/>
        <v>0</v>
      </c>
      <c r="Y443" s="489">
        <f t="shared" si="48"/>
        <v>0</v>
      </c>
    </row>
    <row r="444" spans="2:25">
      <c r="B444" s="100" t="s">
        <v>788</v>
      </c>
      <c r="C444" s="12"/>
      <c r="D444" s="3"/>
      <c r="E444" s="77"/>
      <c r="F444" s="62"/>
      <c r="G444" s="62"/>
      <c r="H444" s="84" t="s">
        <v>382</v>
      </c>
      <c r="I444" s="3"/>
      <c r="J444" s="60">
        <f t="shared" si="49"/>
        <v>0</v>
      </c>
      <c r="K444" s="60">
        <f t="shared" si="43"/>
        <v>0</v>
      </c>
      <c r="L444" s="61">
        <f>K444*係数!$H$30</f>
        <v>0</v>
      </c>
      <c r="M444" s="61">
        <f>K444*係数!$C$30*0.0000258</f>
        <v>0</v>
      </c>
      <c r="N444" s="12"/>
      <c r="O444" s="3"/>
      <c r="P444" s="3"/>
      <c r="Q444" s="84" t="s">
        <v>382</v>
      </c>
      <c r="R444" s="3"/>
      <c r="S444" s="488">
        <f t="shared" si="44"/>
        <v>0</v>
      </c>
      <c r="T444" s="8">
        <f t="shared" si="45"/>
        <v>0</v>
      </c>
      <c r="U444" s="61">
        <f>T444*係数!$H$30</f>
        <v>0</v>
      </c>
      <c r="V444" s="61">
        <f>T444*係数!$C$30*0.0000258</f>
        <v>0</v>
      </c>
      <c r="W444" s="8">
        <f t="shared" si="46"/>
        <v>0</v>
      </c>
      <c r="X444" s="272">
        <f t="shared" si="47"/>
        <v>0</v>
      </c>
      <c r="Y444" s="489">
        <f t="shared" si="48"/>
        <v>0</v>
      </c>
    </row>
    <row r="445" spans="2:25">
      <c r="B445" s="100" t="s">
        <v>789</v>
      </c>
      <c r="C445" s="12"/>
      <c r="D445" s="3"/>
      <c r="E445" s="77"/>
      <c r="F445" s="62"/>
      <c r="G445" s="62"/>
      <c r="H445" s="84" t="s">
        <v>382</v>
      </c>
      <c r="I445" s="3"/>
      <c r="J445" s="60">
        <f t="shared" si="49"/>
        <v>0</v>
      </c>
      <c r="K445" s="60">
        <f t="shared" si="43"/>
        <v>0</v>
      </c>
      <c r="L445" s="61">
        <f>K445*係数!$H$30</f>
        <v>0</v>
      </c>
      <c r="M445" s="61">
        <f>K445*係数!$C$30*0.0000258</f>
        <v>0</v>
      </c>
      <c r="N445" s="12"/>
      <c r="O445" s="3"/>
      <c r="P445" s="3"/>
      <c r="Q445" s="84" t="s">
        <v>382</v>
      </c>
      <c r="R445" s="3"/>
      <c r="S445" s="488">
        <f t="shared" si="44"/>
        <v>0</v>
      </c>
      <c r="T445" s="8">
        <f t="shared" si="45"/>
        <v>0</v>
      </c>
      <c r="U445" s="61">
        <f>T445*係数!$H$30</f>
        <v>0</v>
      </c>
      <c r="V445" s="61">
        <f>T445*係数!$C$30*0.0000258</f>
        <v>0</v>
      </c>
      <c r="W445" s="8">
        <f t="shared" si="46"/>
        <v>0</v>
      </c>
      <c r="X445" s="272">
        <f t="shared" si="47"/>
        <v>0</v>
      </c>
      <c r="Y445" s="489">
        <f t="shared" si="48"/>
        <v>0</v>
      </c>
    </row>
    <row r="446" spans="2:25">
      <c r="B446" s="100" t="s">
        <v>790</v>
      </c>
      <c r="C446" s="12"/>
      <c r="D446" s="3"/>
      <c r="E446" s="77"/>
      <c r="F446" s="62"/>
      <c r="G446" s="62"/>
      <c r="H446" s="84" t="s">
        <v>382</v>
      </c>
      <c r="I446" s="3"/>
      <c r="J446" s="60">
        <f t="shared" si="49"/>
        <v>0</v>
      </c>
      <c r="K446" s="60">
        <f t="shared" si="43"/>
        <v>0</v>
      </c>
      <c r="L446" s="61">
        <f>K446*係数!$H$30</f>
        <v>0</v>
      </c>
      <c r="M446" s="61">
        <f>K446*係数!$C$30*0.0000258</f>
        <v>0</v>
      </c>
      <c r="N446" s="12"/>
      <c r="O446" s="3"/>
      <c r="P446" s="3"/>
      <c r="Q446" s="84" t="s">
        <v>382</v>
      </c>
      <c r="R446" s="3"/>
      <c r="S446" s="488">
        <f t="shared" si="44"/>
        <v>0</v>
      </c>
      <c r="T446" s="8">
        <f t="shared" si="45"/>
        <v>0</v>
      </c>
      <c r="U446" s="61">
        <f>T446*係数!$H$30</f>
        <v>0</v>
      </c>
      <c r="V446" s="61">
        <f>T446*係数!$C$30*0.0000258</f>
        <v>0</v>
      </c>
      <c r="W446" s="8">
        <f t="shared" si="46"/>
        <v>0</v>
      </c>
      <c r="X446" s="272">
        <f t="shared" si="47"/>
        <v>0</v>
      </c>
      <c r="Y446" s="489">
        <f t="shared" si="48"/>
        <v>0</v>
      </c>
    </row>
    <row r="447" spans="2:25">
      <c r="B447" s="100" t="s">
        <v>791</v>
      </c>
      <c r="C447" s="12"/>
      <c r="D447" s="3"/>
      <c r="E447" s="77"/>
      <c r="F447" s="62"/>
      <c r="G447" s="62"/>
      <c r="H447" s="84" t="s">
        <v>382</v>
      </c>
      <c r="I447" s="3"/>
      <c r="J447" s="60">
        <f t="shared" si="49"/>
        <v>0</v>
      </c>
      <c r="K447" s="60">
        <f t="shared" si="43"/>
        <v>0</v>
      </c>
      <c r="L447" s="61">
        <f>K447*係数!$H$30</f>
        <v>0</v>
      </c>
      <c r="M447" s="61">
        <f>K447*係数!$C$30*0.0000258</f>
        <v>0</v>
      </c>
      <c r="N447" s="12"/>
      <c r="O447" s="3"/>
      <c r="P447" s="3"/>
      <c r="Q447" s="84" t="s">
        <v>382</v>
      </c>
      <c r="R447" s="3"/>
      <c r="S447" s="488">
        <f t="shared" si="44"/>
        <v>0</v>
      </c>
      <c r="T447" s="8">
        <f t="shared" si="45"/>
        <v>0</v>
      </c>
      <c r="U447" s="61">
        <f>T447*係数!$H$30</f>
        <v>0</v>
      </c>
      <c r="V447" s="61">
        <f>T447*係数!$C$30*0.0000258</f>
        <v>0</v>
      </c>
      <c r="W447" s="8">
        <f t="shared" si="46"/>
        <v>0</v>
      </c>
      <c r="X447" s="272">
        <f t="shared" si="47"/>
        <v>0</v>
      </c>
      <c r="Y447" s="489">
        <f t="shared" si="48"/>
        <v>0</v>
      </c>
    </row>
    <row r="448" spans="2:25">
      <c r="B448" s="100" t="s">
        <v>792</v>
      </c>
      <c r="C448" s="12"/>
      <c r="D448" s="3"/>
      <c r="E448" s="77"/>
      <c r="F448" s="62"/>
      <c r="G448" s="62"/>
      <c r="H448" s="84" t="s">
        <v>382</v>
      </c>
      <c r="I448" s="3"/>
      <c r="J448" s="60">
        <f t="shared" si="49"/>
        <v>0</v>
      </c>
      <c r="K448" s="60">
        <f t="shared" si="43"/>
        <v>0</v>
      </c>
      <c r="L448" s="61">
        <f>K448*係数!$H$30</f>
        <v>0</v>
      </c>
      <c r="M448" s="61">
        <f>K448*係数!$C$30*0.0000258</f>
        <v>0</v>
      </c>
      <c r="N448" s="12"/>
      <c r="O448" s="3"/>
      <c r="P448" s="3"/>
      <c r="Q448" s="84" t="s">
        <v>382</v>
      </c>
      <c r="R448" s="3"/>
      <c r="S448" s="488">
        <f t="shared" si="44"/>
        <v>0</v>
      </c>
      <c r="T448" s="8">
        <f t="shared" si="45"/>
        <v>0</v>
      </c>
      <c r="U448" s="61">
        <f>T448*係数!$H$30</f>
        <v>0</v>
      </c>
      <c r="V448" s="61">
        <f>T448*係数!$C$30*0.0000258</f>
        <v>0</v>
      </c>
      <c r="W448" s="8">
        <f t="shared" si="46"/>
        <v>0</v>
      </c>
      <c r="X448" s="272">
        <f t="shared" si="47"/>
        <v>0</v>
      </c>
      <c r="Y448" s="489">
        <f t="shared" si="48"/>
        <v>0</v>
      </c>
    </row>
    <row r="449" spans="2:25">
      <c r="B449" s="100" t="s">
        <v>793</v>
      </c>
      <c r="C449" s="12"/>
      <c r="D449" s="3"/>
      <c r="E449" s="77"/>
      <c r="F449" s="62"/>
      <c r="G449" s="62"/>
      <c r="H449" s="84" t="s">
        <v>382</v>
      </c>
      <c r="I449" s="3"/>
      <c r="J449" s="60">
        <f t="shared" si="49"/>
        <v>0</v>
      </c>
      <c r="K449" s="60">
        <f t="shared" si="43"/>
        <v>0</v>
      </c>
      <c r="L449" s="61">
        <f>K449*係数!$H$30</f>
        <v>0</v>
      </c>
      <c r="M449" s="61">
        <f>K449*係数!$C$30*0.0000258</f>
        <v>0</v>
      </c>
      <c r="N449" s="12"/>
      <c r="O449" s="3"/>
      <c r="P449" s="3"/>
      <c r="Q449" s="84" t="s">
        <v>382</v>
      </c>
      <c r="R449" s="3"/>
      <c r="S449" s="488">
        <f t="shared" si="44"/>
        <v>0</v>
      </c>
      <c r="T449" s="8">
        <f t="shared" si="45"/>
        <v>0</v>
      </c>
      <c r="U449" s="61">
        <f>T449*係数!$H$30</f>
        <v>0</v>
      </c>
      <c r="V449" s="61">
        <f>T449*係数!$C$30*0.0000258</f>
        <v>0</v>
      </c>
      <c r="W449" s="8">
        <f t="shared" si="46"/>
        <v>0</v>
      </c>
      <c r="X449" s="272">
        <f t="shared" si="47"/>
        <v>0</v>
      </c>
      <c r="Y449" s="489">
        <f t="shared" si="48"/>
        <v>0</v>
      </c>
    </row>
    <row r="450" spans="2:25">
      <c r="B450" s="100" t="s">
        <v>794</v>
      </c>
      <c r="C450" s="12"/>
      <c r="D450" s="3"/>
      <c r="E450" s="77"/>
      <c r="F450" s="62"/>
      <c r="G450" s="62"/>
      <c r="H450" s="84" t="s">
        <v>382</v>
      </c>
      <c r="I450" s="3"/>
      <c r="J450" s="60">
        <f t="shared" si="49"/>
        <v>0</v>
      </c>
      <c r="K450" s="60">
        <f t="shared" si="43"/>
        <v>0</v>
      </c>
      <c r="L450" s="61">
        <f>K450*係数!$H$30</f>
        <v>0</v>
      </c>
      <c r="M450" s="61">
        <f>K450*係数!$C$30*0.0000258</f>
        <v>0</v>
      </c>
      <c r="N450" s="12"/>
      <c r="O450" s="3"/>
      <c r="P450" s="3"/>
      <c r="Q450" s="84" t="s">
        <v>382</v>
      </c>
      <c r="R450" s="3"/>
      <c r="S450" s="488">
        <f t="shared" si="44"/>
        <v>0</v>
      </c>
      <c r="T450" s="8">
        <f t="shared" si="45"/>
        <v>0</v>
      </c>
      <c r="U450" s="61">
        <f>T450*係数!$H$30</f>
        <v>0</v>
      </c>
      <c r="V450" s="61">
        <f>T450*係数!$C$30*0.0000258</f>
        <v>0</v>
      </c>
      <c r="W450" s="8">
        <f t="shared" si="46"/>
        <v>0</v>
      </c>
      <c r="X450" s="272">
        <f t="shared" si="47"/>
        <v>0</v>
      </c>
      <c r="Y450" s="489">
        <f t="shared" si="48"/>
        <v>0</v>
      </c>
    </row>
    <row r="451" spans="2:25">
      <c r="B451" s="100" t="s">
        <v>795</v>
      </c>
      <c r="C451" s="12"/>
      <c r="D451" s="3"/>
      <c r="E451" s="77"/>
      <c r="F451" s="62"/>
      <c r="G451" s="62"/>
      <c r="H451" s="84" t="s">
        <v>382</v>
      </c>
      <c r="I451" s="3"/>
      <c r="J451" s="60">
        <f t="shared" si="49"/>
        <v>0</v>
      </c>
      <c r="K451" s="60">
        <f t="shared" si="43"/>
        <v>0</v>
      </c>
      <c r="L451" s="61">
        <f>K451*係数!$H$30</f>
        <v>0</v>
      </c>
      <c r="M451" s="61">
        <f>K451*係数!$C$30*0.0000258</f>
        <v>0</v>
      </c>
      <c r="N451" s="12"/>
      <c r="O451" s="3"/>
      <c r="P451" s="3"/>
      <c r="Q451" s="84" t="s">
        <v>382</v>
      </c>
      <c r="R451" s="3"/>
      <c r="S451" s="488">
        <f t="shared" si="44"/>
        <v>0</v>
      </c>
      <c r="T451" s="8">
        <f t="shared" si="45"/>
        <v>0</v>
      </c>
      <c r="U451" s="61">
        <f>T451*係数!$H$30</f>
        <v>0</v>
      </c>
      <c r="V451" s="61">
        <f>T451*係数!$C$30*0.0000258</f>
        <v>0</v>
      </c>
      <c r="W451" s="8">
        <f t="shared" si="46"/>
        <v>0</v>
      </c>
      <c r="X451" s="272">
        <f t="shared" si="47"/>
        <v>0</v>
      </c>
      <c r="Y451" s="489">
        <f t="shared" si="48"/>
        <v>0</v>
      </c>
    </row>
    <row r="452" spans="2:25">
      <c r="B452" s="100" t="s">
        <v>796</v>
      </c>
      <c r="C452" s="12"/>
      <c r="D452" s="3"/>
      <c r="E452" s="77"/>
      <c r="F452" s="62"/>
      <c r="G452" s="62"/>
      <c r="H452" s="84" t="s">
        <v>382</v>
      </c>
      <c r="I452" s="3"/>
      <c r="J452" s="60">
        <f t="shared" si="49"/>
        <v>0</v>
      </c>
      <c r="K452" s="60">
        <f t="shared" si="43"/>
        <v>0</v>
      </c>
      <c r="L452" s="61">
        <f>K452*係数!$H$30</f>
        <v>0</v>
      </c>
      <c r="M452" s="61">
        <f>K452*係数!$C$30*0.0000258</f>
        <v>0</v>
      </c>
      <c r="N452" s="12"/>
      <c r="O452" s="3"/>
      <c r="P452" s="3"/>
      <c r="Q452" s="84" t="s">
        <v>382</v>
      </c>
      <c r="R452" s="3"/>
      <c r="S452" s="488">
        <f t="shared" si="44"/>
        <v>0</v>
      </c>
      <c r="T452" s="8">
        <f t="shared" si="45"/>
        <v>0</v>
      </c>
      <c r="U452" s="61">
        <f>T452*係数!$H$30</f>
        <v>0</v>
      </c>
      <c r="V452" s="61">
        <f>T452*係数!$C$30*0.0000258</f>
        <v>0</v>
      </c>
      <c r="W452" s="8">
        <f t="shared" si="46"/>
        <v>0</v>
      </c>
      <c r="X452" s="272">
        <f t="shared" si="47"/>
        <v>0</v>
      </c>
      <c r="Y452" s="489">
        <f t="shared" si="48"/>
        <v>0</v>
      </c>
    </row>
    <row r="453" spans="2:25">
      <c r="B453" s="100" t="s">
        <v>797</v>
      </c>
      <c r="C453" s="12"/>
      <c r="D453" s="3"/>
      <c r="E453" s="77"/>
      <c r="F453" s="62"/>
      <c r="G453" s="62"/>
      <c r="H453" s="84" t="s">
        <v>382</v>
      </c>
      <c r="I453" s="3"/>
      <c r="J453" s="60">
        <f t="shared" si="49"/>
        <v>0</v>
      </c>
      <c r="K453" s="60">
        <f t="shared" si="43"/>
        <v>0</v>
      </c>
      <c r="L453" s="61">
        <f>K453*係数!$H$30</f>
        <v>0</v>
      </c>
      <c r="M453" s="61">
        <f>K453*係数!$C$30*0.0000258</f>
        <v>0</v>
      </c>
      <c r="N453" s="12"/>
      <c r="O453" s="3"/>
      <c r="P453" s="3"/>
      <c r="Q453" s="84" t="s">
        <v>382</v>
      </c>
      <c r="R453" s="3"/>
      <c r="S453" s="488">
        <f t="shared" si="44"/>
        <v>0</v>
      </c>
      <c r="T453" s="8">
        <f t="shared" si="45"/>
        <v>0</v>
      </c>
      <c r="U453" s="61">
        <f>T453*係数!$H$30</f>
        <v>0</v>
      </c>
      <c r="V453" s="61">
        <f>T453*係数!$C$30*0.0000258</f>
        <v>0</v>
      </c>
      <c r="W453" s="8">
        <f t="shared" si="46"/>
        <v>0</v>
      </c>
      <c r="X453" s="272">
        <f t="shared" si="47"/>
        <v>0</v>
      </c>
      <c r="Y453" s="489">
        <f t="shared" si="48"/>
        <v>0</v>
      </c>
    </row>
    <row r="454" spans="2:25">
      <c r="B454" s="100" t="s">
        <v>798</v>
      </c>
      <c r="C454" s="12"/>
      <c r="D454" s="3"/>
      <c r="E454" s="77"/>
      <c r="F454" s="62"/>
      <c r="G454" s="62"/>
      <c r="H454" s="84" t="s">
        <v>382</v>
      </c>
      <c r="I454" s="3"/>
      <c r="J454" s="60">
        <f t="shared" si="49"/>
        <v>0</v>
      </c>
      <c r="K454" s="60">
        <f t="shared" si="43"/>
        <v>0</v>
      </c>
      <c r="L454" s="61">
        <f>K454*係数!$H$30</f>
        <v>0</v>
      </c>
      <c r="M454" s="61">
        <f>K454*係数!$C$30*0.0000258</f>
        <v>0</v>
      </c>
      <c r="N454" s="12"/>
      <c r="O454" s="3"/>
      <c r="P454" s="3"/>
      <c r="Q454" s="84" t="s">
        <v>382</v>
      </c>
      <c r="R454" s="3"/>
      <c r="S454" s="488">
        <f t="shared" si="44"/>
        <v>0</v>
      </c>
      <c r="T454" s="8">
        <f t="shared" si="45"/>
        <v>0</v>
      </c>
      <c r="U454" s="61">
        <f>T454*係数!$H$30</f>
        <v>0</v>
      </c>
      <c r="V454" s="61">
        <f>T454*係数!$C$30*0.0000258</f>
        <v>0</v>
      </c>
      <c r="W454" s="8">
        <f t="shared" si="46"/>
        <v>0</v>
      </c>
      <c r="X454" s="272">
        <f t="shared" si="47"/>
        <v>0</v>
      </c>
      <c r="Y454" s="489">
        <f t="shared" si="48"/>
        <v>0</v>
      </c>
    </row>
    <row r="455" spans="2:25">
      <c r="B455" s="100" t="s">
        <v>799</v>
      </c>
      <c r="C455" s="12"/>
      <c r="D455" s="3"/>
      <c r="E455" s="77"/>
      <c r="F455" s="62"/>
      <c r="G455" s="62"/>
      <c r="H455" s="84" t="s">
        <v>382</v>
      </c>
      <c r="I455" s="3"/>
      <c r="J455" s="60">
        <f t="shared" si="49"/>
        <v>0</v>
      </c>
      <c r="K455" s="60">
        <f t="shared" si="43"/>
        <v>0</v>
      </c>
      <c r="L455" s="61">
        <f>K455*係数!$H$30</f>
        <v>0</v>
      </c>
      <c r="M455" s="61">
        <f>K455*係数!$C$30*0.0000258</f>
        <v>0</v>
      </c>
      <c r="N455" s="12"/>
      <c r="O455" s="3"/>
      <c r="P455" s="3"/>
      <c r="Q455" s="84" t="s">
        <v>382</v>
      </c>
      <c r="R455" s="3"/>
      <c r="S455" s="488">
        <f t="shared" si="44"/>
        <v>0</v>
      </c>
      <c r="T455" s="8">
        <f t="shared" si="45"/>
        <v>0</v>
      </c>
      <c r="U455" s="61">
        <f>T455*係数!$H$30</f>
        <v>0</v>
      </c>
      <c r="V455" s="61">
        <f>T455*係数!$C$30*0.0000258</f>
        <v>0</v>
      </c>
      <c r="W455" s="8">
        <f t="shared" si="46"/>
        <v>0</v>
      </c>
      <c r="X455" s="272">
        <f t="shared" si="47"/>
        <v>0</v>
      </c>
      <c r="Y455" s="489">
        <f t="shared" si="48"/>
        <v>0</v>
      </c>
    </row>
    <row r="456" spans="2:25">
      <c r="B456" s="100" t="s">
        <v>800</v>
      </c>
      <c r="C456" s="12"/>
      <c r="D456" s="3"/>
      <c r="E456" s="77"/>
      <c r="F456" s="62"/>
      <c r="G456" s="62"/>
      <c r="H456" s="84" t="s">
        <v>382</v>
      </c>
      <c r="I456" s="3"/>
      <c r="J456" s="60">
        <f t="shared" si="49"/>
        <v>0</v>
      </c>
      <c r="K456" s="60">
        <f t="shared" si="43"/>
        <v>0</v>
      </c>
      <c r="L456" s="61">
        <f>K456*係数!$H$30</f>
        <v>0</v>
      </c>
      <c r="M456" s="61">
        <f>K456*係数!$C$30*0.0000258</f>
        <v>0</v>
      </c>
      <c r="N456" s="12"/>
      <c r="O456" s="3"/>
      <c r="P456" s="3"/>
      <c r="Q456" s="84" t="s">
        <v>382</v>
      </c>
      <c r="R456" s="3"/>
      <c r="S456" s="488">
        <f t="shared" si="44"/>
        <v>0</v>
      </c>
      <c r="T456" s="8">
        <f t="shared" si="45"/>
        <v>0</v>
      </c>
      <c r="U456" s="61">
        <f>T456*係数!$H$30</f>
        <v>0</v>
      </c>
      <c r="V456" s="61">
        <f>T456*係数!$C$30*0.0000258</f>
        <v>0</v>
      </c>
      <c r="W456" s="8">
        <f t="shared" si="46"/>
        <v>0</v>
      </c>
      <c r="X456" s="272">
        <f t="shared" si="47"/>
        <v>0</v>
      </c>
      <c r="Y456" s="489">
        <f t="shared" si="48"/>
        <v>0</v>
      </c>
    </row>
    <row r="457" spans="2:25">
      <c r="B457" s="100" t="s">
        <v>801</v>
      </c>
      <c r="C457" s="12"/>
      <c r="D457" s="3"/>
      <c r="E457" s="77"/>
      <c r="F457" s="62"/>
      <c r="G457" s="62"/>
      <c r="H457" s="84" t="s">
        <v>382</v>
      </c>
      <c r="I457" s="3"/>
      <c r="J457" s="60">
        <f t="shared" si="49"/>
        <v>0</v>
      </c>
      <c r="K457" s="60">
        <f t="shared" si="43"/>
        <v>0</v>
      </c>
      <c r="L457" s="61">
        <f>K457*係数!$H$30</f>
        <v>0</v>
      </c>
      <c r="M457" s="61">
        <f>K457*係数!$C$30*0.0000258</f>
        <v>0</v>
      </c>
      <c r="N457" s="12"/>
      <c r="O457" s="3"/>
      <c r="P457" s="3"/>
      <c r="Q457" s="84" t="s">
        <v>382</v>
      </c>
      <c r="R457" s="3"/>
      <c r="S457" s="488">
        <f t="shared" si="44"/>
        <v>0</v>
      </c>
      <c r="T457" s="8">
        <f t="shared" si="45"/>
        <v>0</v>
      </c>
      <c r="U457" s="61">
        <f>T457*係数!$H$30</f>
        <v>0</v>
      </c>
      <c r="V457" s="61">
        <f>T457*係数!$C$30*0.0000258</f>
        <v>0</v>
      </c>
      <c r="W457" s="8">
        <f t="shared" si="46"/>
        <v>0</v>
      </c>
      <c r="X457" s="272">
        <f t="shared" si="47"/>
        <v>0</v>
      </c>
      <c r="Y457" s="489">
        <f t="shared" si="48"/>
        <v>0</v>
      </c>
    </row>
    <row r="458" spans="2:25">
      <c r="B458" s="100" t="s">
        <v>802</v>
      </c>
      <c r="C458" s="12"/>
      <c r="D458" s="3"/>
      <c r="E458" s="77"/>
      <c r="F458" s="62"/>
      <c r="G458" s="62"/>
      <c r="H458" s="84" t="s">
        <v>382</v>
      </c>
      <c r="I458" s="3"/>
      <c r="J458" s="60">
        <f t="shared" si="49"/>
        <v>0</v>
      </c>
      <c r="K458" s="60">
        <f t="shared" si="43"/>
        <v>0</v>
      </c>
      <c r="L458" s="61">
        <f>K458*係数!$H$30</f>
        <v>0</v>
      </c>
      <c r="M458" s="61">
        <f>K458*係数!$C$30*0.0000258</f>
        <v>0</v>
      </c>
      <c r="N458" s="12"/>
      <c r="O458" s="3"/>
      <c r="P458" s="3"/>
      <c r="Q458" s="84" t="s">
        <v>382</v>
      </c>
      <c r="R458" s="3"/>
      <c r="S458" s="488">
        <f t="shared" si="44"/>
        <v>0</v>
      </c>
      <c r="T458" s="8">
        <f t="shared" si="45"/>
        <v>0</v>
      </c>
      <c r="U458" s="61">
        <f>T458*係数!$H$30</f>
        <v>0</v>
      </c>
      <c r="V458" s="61">
        <f>T458*係数!$C$30*0.0000258</f>
        <v>0</v>
      </c>
      <c r="W458" s="8">
        <f t="shared" si="46"/>
        <v>0</v>
      </c>
      <c r="X458" s="272">
        <f t="shared" si="47"/>
        <v>0</v>
      </c>
      <c r="Y458" s="489">
        <f t="shared" si="48"/>
        <v>0</v>
      </c>
    </row>
    <row r="459" spans="2:25">
      <c r="B459" s="100" t="s">
        <v>803</v>
      </c>
      <c r="C459" s="12"/>
      <c r="D459" s="3"/>
      <c r="E459" s="77"/>
      <c r="F459" s="62"/>
      <c r="G459" s="62"/>
      <c r="H459" s="84" t="s">
        <v>382</v>
      </c>
      <c r="I459" s="3"/>
      <c r="J459" s="60">
        <f t="shared" si="49"/>
        <v>0</v>
      </c>
      <c r="K459" s="60">
        <f t="shared" si="43"/>
        <v>0</v>
      </c>
      <c r="L459" s="61">
        <f>K459*係数!$H$30</f>
        <v>0</v>
      </c>
      <c r="M459" s="61">
        <f>K459*係数!$C$30*0.0000258</f>
        <v>0</v>
      </c>
      <c r="N459" s="12"/>
      <c r="O459" s="3"/>
      <c r="P459" s="3"/>
      <c r="Q459" s="84" t="s">
        <v>382</v>
      </c>
      <c r="R459" s="3"/>
      <c r="S459" s="488">
        <f t="shared" si="44"/>
        <v>0</v>
      </c>
      <c r="T459" s="8">
        <f t="shared" si="45"/>
        <v>0</v>
      </c>
      <c r="U459" s="61">
        <f>T459*係数!$H$30</f>
        <v>0</v>
      </c>
      <c r="V459" s="61">
        <f>T459*係数!$C$30*0.0000258</f>
        <v>0</v>
      </c>
      <c r="W459" s="8">
        <f t="shared" si="46"/>
        <v>0</v>
      </c>
      <c r="X459" s="272">
        <f t="shared" si="47"/>
        <v>0</v>
      </c>
      <c r="Y459" s="489">
        <f t="shared" si="48"/>
        <v>0</v>
      </c>
    </row>
    <row r="460" spans="2:25">
      <c r="B460" s="100" t="s">
        <v>804</v>
      </c>
      <c r="C460" s="12"/>
      <c r="D460" s="3"/>
      <c r="E460" s="77"/>
      <c r="F460" s="62"/>
      <c r="G460" s="62"/>
      <c r="H460" s="84" t="s">
        <v>382</v>
      </c>
      <c r="I460" s="3"/>
      <c r="J460" s="60">
        <f t="shared" si="49"/>
        <v>0</v>
      </c>
      <c r="K460" s="60">
        <f t="shared" si="43"/>
        <v>0</v>
      </c>
      <c r="L460" s="61">
        <f>K460*係数!$H$30</f>
        <v>0</v>
      </c>
      <c r="M460" s="61">
        <f>K460*係数!$C$30*0.0000258</f>
        <v>0</v>
      </c>
      <c r="N460" s="12"/>
      <c r="O460" s="3"/>
      <c r="P460" s="3"/>
      <c r="Q460" s="84" t="s">
        <v>382</v>
      </c>
      <c r="R460" s="3"/>
      <c r="S460" s="488">
        <f t="shared" si="44"/>
        <v>0</v>
      </c>
      <c r="T460" s="8">
        <f t="shared" si="45"/>
        <v>0</v>
      </c>
      <c r="U460" s="61">
        <f>T460*係数!$H$30</f>
        <v>0</v>
      </c>
      <c r="V460" s="61">
        <f>T460*係数!$C$30*0.0000258</f>
        <v>0</v>
      </c>
      <c r="W460" s="8">
        <f t="shared" si="46"/>
        <v>0</v>
      </c>
      <c r="X460" s="272">
        <f t="shared" si="47"/>
        <v>0</v>
      </c>
      <c r="Y460" s="489">
        <f t="shared" si="48"/>
        <v>0</v>
      </c>
    </row>
    <row r="461" spans="2:25">
      <c r="B461" s="100" t="s">
        <v>805</v>
      </c>
      <c r="C461" s="12"/>
      <c r="D461" s="3"/>
      <c r="E461" s="77"/>
      <c r="F461" s="62"/>
      <c r="G461" s="62"/>
      <c r="H461" s="84" t="s">
        <v>382</v>
      </c>
      <c r="I461" s="3"/>
      <c r="J461" s="60">
        <f t="shared" si="49"/>
        <v>0</v>
      </c>
      <c r="K461" s="60">
        <f t="shared" si="43"/>
        <v>0</v>
      </c>
      <c r="L461" s="61">
        <f>K461*係数!$H$30</f>
        <v>0</v>
      </c>
      <c r="M461" s="61">
        <f>K461*係数!$C$30*0.0000258</f>
        <v>0</v>
      </c>
      <c r="N461" s="12"/>
      <c r="O461" s="3"/>
      <c r="P461" s="3"/>
      <c r="Q461" s="84" t="s">
        <v>382</v>
      </c>
      <c r="R461" s="3"/>
      <c r="S461" s="488">
        <f t="shared" si="44"/>
        <v>0</v>
      </c>
      <c r="T461" s="8">
        <f t="shared" si="45"/>
        <v>0</v>
      </c>
      <c r="U461" s="61">
        <f>T461*係数!$H$30</f>
        <v>0</v>
      </c>
      <c r="V461" s="61">
        <f>T461*係数!$C$30*0.0000258</f>
        <v>0</v>
      </c>
      <c r="W461" s="8">
        <f t="shared" si="46"/>
        <v>0</v>
      </c>
      <c r="X461" s="272">
        <f t="shared" si="47"/>
        <v>0</v>
      </c>
      <c r="Y461" s="489">
        <f t="shared" si="48"/>
        <v>0</v>
      </c>
    </row>
    <row r="462" spans="2:25">
      <c r="B462" s="100" t="s">
        <v>806</v>
      </c>
      <c r="C462" s="12"/>
      <c r="D462" s="3"/>
      <c r="E462" s="77"/>
      <c r="F462" s="62"/>
      <c r="G462" s="62"/>
      <c r="H462" s="84" t="s">
        <v>382</v>
      </c>
      <c r="I462" s="3"/>
      <c r="J462" s="60">
        <f t="shared" si="49"/>
        <v>0</v>
      </c>
      <c r="K462" s="60">
        <f t="shared" si="43"/>
        <v>0</v>
      </c>
      <c r="L462" s="61">
        <f>K462*係数!$H$30</f>
        <v>0</v>
      </c>
      <c r="M462" s="61">
        <f>K462*係数!$C$30*0.0000258</f>
        <v>0</v>
      </c>
      <c r="N462" s="12"/>
      <c r="O462" s="3"/>
      <c r="P462" s="3"/>
      <c r="Q462" s="84" t="s">
        <v>382</v>
      </c>
      <c r="R462" s="3"/>
      <c r="S462" s="488">
        <f t="shared" si="44"/>
        <v>0</v>
      </c>
      <c r="T462" s="8">
        <f t="shared" si="45"/>
        <v>0</v>
      </c>
      <c r="U462" s="61">
        <f>T462*係数!$H$30</f>
        <v>0</v>
      </c>
      <c r="V462" s="61">
        <f>T462*係数!$C$30*0.0000258</f>
        <v>0</v>
      </c>
      <c r="W462" s="8">
        <f t="shared" si="46"/>
        <v>0</v>
      </c>
      <c r="X462" s="272">
        <f t="shared" si="47"/>
        <v>0</v>
      </c>
      <c r="Y462" s="489">
        <f t="shared" si="48"/>
        <v>0</v>
      </c>
    </row>
    <row r="463" spans="2:25">
      <c r="B463" s="100" t="s">
        <v>807</v>
      </c>
      <c r="C463" s="12"/>
      <c r="D463" s="3"/>
      <c r="E463" s="77"/>
      <c r="F463" s="62"/>
      <c r="G463" s="62"/>
      <c r="H463" s="84" t="s">
        <v>382</v>
      </c>
      <c r="I463" s="3"/>
      <c r="J463" s="60">
        <f t="shared" si="49"/>
        <v>0</v>
      </c>
      <c r="K463" s="60">
        <f t="shared" si="43"/>
        <v>0</v>
      </c>
      <c r="L463" s="61">
        <f>K463*係数!$H$30</f>
        <v>0</v>
      </c>
      <c r="M463" s="61">
        <f>K463*係数!$C$30*0.0000258</f>
        <v>0</v>
      </c>
      <c r="N463" s="12"/>
      <c r="O463" s="3"/>
      <c r="P463" s="3"/>
      <c r="Q463" s="84" t="s">
        <v>382</v>
      </c>
      <c r="R463" s="3"/>
      <c r="S463" s="488">
        <f t="shared" si="44"/>
        <v>0</v>
      </c>
      <c r="T463" s="8">
        <f t="shared" si="45"/>
        <v>0</v>
      </c>
      <c r="U463" s="61">
        <f>T463*係数!$H$30</f>
        <v>0</v>
      </c>
      <c r="V463" s="61">
        <f>T463*係数!$C$30*0.0000258</f>
        <v>0</v>
      </c>
      <c r="W463" s="8">
        <f t="shared" si="46"/>
        <v>0</v>
      </c>
      <c r="X463" s="272">
        <f t="shared" si="47"/>
        <v>0</v>
      </c>
      <c r="Y463" s="489">
        <f t="shared" si="48"/>
        <v>0</v>
      </c>
    </row>
    <row r="464" spans="2:25">
      <c r="B464" s="100" t="s">
        <v>808</v>
      </c>
      <c r="C464" s="12"/>
      <c r="D464" s="3"/>
      <c r="E464" s="77"/>
      <c r="F464" s="62"/>
      <c r="G464" s="62"/>
      <c r="H464" s="84" t="s">
        <v>382</v>
      </c>
      <c r="I464" s="3"/>
      <c r="J464" s="60">
        <f t="shared" si="49"/>
        <v>0</v>
      </c>
      <c r="K464" s="60">
        <f t="shared" si="43"/>
        <v>0</v>
      </c>
      <c r="L464" s="61">
        <f>K464*係数!$H$30</f>
        <v>0</v>
      </c>
      <c r="M464" s="61">
        <f>K464*係数!$C$30*0.0000258</f>
        <v>0</v>
      </c>
      <c r="N464" s="12"/>
      <c r="O464" s="3"/>
      <c r="P464" s="3"/>
      <c r="Q464" s="84" t="s">
        <v>382</v>
      </c>
      <c r="R464" s="3"/>
      <c r="S464" s="488">
        <f t="shared" si="44"/>
        <v>0</v>
      </c>
      <c r="T464" s="8">
        <f t="shared" si="45"/>
        <v>0</v>
      </c>
      <c r="U464" s="61">
        <f>T464*係数!$H$30</f>
        <v>0</v>
      </c>
      <c r="V464" s="61">
        <f>T464*係数!$C$30*0.0000258</f>
        <v>0</v>
      </c>
      <c r="W464" s="8">
        <f t="shared" si="46"/>
        <v>0</v>
      </c>
      <c r="X464" s="272">
        <f t="shared" si="47"/>
        <v>0</v>
      </c>
      <c r="Y464" s="489">
        <f t="shared" si="48"/>
        <v>0</v>
      </c>
    </row>
    <row r="465" spans="2:25">
      <c r="B465" s="100" t="s">
        <v>809</v>
      </c>
      <c r="C465" s="12"/>
      <c r="D465" s="3"/>
      <c r="E465" s="77"/>
      <c r="F465" s="62"/>
      <c r="G465" s="62"/>
      <c r="H465" s="84" t="s">
        <v>382</v>
      </c>
      <c r="I465" s="3"/>
      <c r="J465" s="60">
        <f t="shared" si="49"/>
        <v>0</v>
      </c>
      <c r="K465" s="60">
        <f t="shared" si="43"/>
        <v>0</v>
      </c>
      <c r="L465" s="61">
        <f>K465*係数!$H$30</f>
        <v>0</v>
      </c>
      <c r="M465" s="61">
        <f>K465*係数!$C$30*0.0000258</f>
        <v>0</v>
      </c>
      <c r="N465" s="12"/>
      <c r="O465" s="3"/>
      <c r="P465" s="3"/>
      <c r="Q465" s="84" t="s">
        <v>382</v>
      </c>
      <c r="R465" s="3"/>
      <c r="S465" s="488">
        <f t="shared" si="44"/>
        <v>0</v>
      </c>
      <c r="T465" s="8">
        <f t="shared" si="45"/>
        <v>0</v>
      </c>
      <c r="U465" s="61">
        <f>T465*係数!$H$30</f>
        <v>0</v>
      </c>
      <c r="V465" s="61">
        <f>T465*係数!$C$30*0.0000258</f>
        <v>0</v>
      </c>
      <c r="W465" s="8">
        <f t="shared" si="46"/>
        <v>0</v>
      </c>
      <c r="X465" s="272">
        <f t="shared" si="47"/>
        <v>0</v>
      </c>
      <c r="Y465" s="489">
        <f t="shared" si="48"/>
        <v>0</v>
      </c>
    </row>
    <row r="466" spans="2:25">
      <c r="B466" s="100" t="s">
        <v>810</v>
      </c>
      <c r="C466" s="12"/>
      <c r="D466" s="3"/>
      <c r="E466" s="77"/>
      <c r="F466" s="62"/>
      <c r="G466" s="62"/>
      <c r="H466" s="84" t="s">
        <v>382</v>
      </c>
      <c r="I466" s="3"/>
      <c r="J466" s="60">
        <f t="shared" si="49"/>
        <v>0</v>
      </c>
      <c r="K466" s="60">
        <f t="shared" si="43"/>
        <v>0</v>
      </c>
      <c r="L466" s="61">
        <f>K466*係数!$H$30</f>
        <v>0</v>
      </c>
      <c r="M466" s="61">
        <f>K466*係数!$C$30*0.0000258</f>
        <v>0</v>
      </c>
      <c r="N466" s="12"/>
      <c r="O466" s="3"/>
      <c r="P466" s="3"/>
      <c r="Q466" s="84" t="s">
        <v>382</v>
      </c>
      <c r="R466" s="3"/>
      <c r="S466" s="488">
        <f t="shared" si="44"/>
        <v>0</v>
      </c>
      <c r="T466" s="8">
        <f t="shared" si="45"/>
        <v>0</v>
      </c>
      <c r="U466" s="61">
        <f>T466*係数!$H$30</f>
        <v>0</v>
      </c>
      <c r="V466" s="61">
        <f>T466*係数!$C$30*0.0000258</f>
        <v>0</v>
      </c>
      <c r="W466" s="8">
        <f t="shared" si="46"/>
        <v>0</v>
      </c>
      <c r="X466" s="272">
        <f t="shared" si="47"/>
        <v>0</v>
      </c>
      <c r="Y466" s="489">
        <f t="shared" si="48"/>
        <v>0</v>
      </c>
    </row>
    <row r="467" spans="2:25">
      <c r="B467" s="100" t="s">
        <v>811</v>
      </c>
      <c r="C467" s="12"/>
      <c r="D467" s="3"/>
      <c r="E467" s="77"/>
      <c r="F467" s="62"/>
      <c r="G467" s="62"/>
      <c r="H467" s="84" t="s">
        <v>382</v>
      </c>
      <c r="I467" s="3"/>
      <c r="J467" s="60">
        <f t="shared" si="49"/>
        <v>0</v>
      </c>
      <c r="K467" s="60">
        <f t="shared" si="43"/>
        <v>0</v>
      </c>
      <c r="L467" s="61">
        <f>K467*係数!$H$30</f>
        <v>0</v>
      </c>
      <c r="M467" s="61">
        <f>K467*係数!$C$30*0.0000258</f>
        <v>0</v>
      </c>
      <c r="N467" s="12"/>
      <c r="O467" s="3"/>
      <c r="P467" s="3"/>
      <c r="Q467" s="84" t="s">
        <v>382</v>
      </c>
      <c r="R467" s="3"/>
      <c r="S467" s="488">
        <f t="shared" si="44"/>
        <v>0</v>
      </c>
      <c r="T467" s="8">
        <f t="shared" si="45"/>
        <v>0</v>
      </c>
      <c r="U467" s="61">
        <f>T467*係数!$H$30</f>
        <v>0</v>
      </c>
      <c r="V467" s="61">
        <f>T467*係数!$C$30*0.0000258</f>
        <v>0</v>
      </c>
      <c r="W467" s="8">
        <f t="shared" si="46"/>
        <v>0</v>
      </c>
      <c r="X467" s="272">
        <f t="shared" si="47"/>
        <v>0</v>
      </c>
      <c r="Y467" s="489">
        <f t="shared" si="48"/>
        <v>0</v>
      </c>
    </row>
    <row r="468" spans="2:25">
      <c r="B468" s="100" t="s">
        <v>812</v>
      </c>
      <c r="C468" s="12"/>
      <c r="D468" s="3"/>
      <c r="E468" s="77"/>
      <c r="F468" s="62"/>
      <c r="G468" s="62"/>
      <c r="H468" s="84" t="s">
        <v>382</v>
      </c>
      <c r="I468" s="3"/>
      <c r="J468" s="60">
        <f t="shared" si="49"/>
        <v>0</v>
      </c>
      <c r="K468" s="60">
        <f t="shared" ref="K468:K519" si="50">E468*D468*J468/1000</f>
        <v>0</v>
      </c>
      <c r="L468" s="61">
        <f>K468*係数!$H$30</f>
        <v>0</v>
      </c>
      <c r="M468" s="61">
        <f>K468*係数!$C$30*0.0000258</f>
        <v>0</v>
      </c>
      <c r="N468" s="12"/>
      <c r="O468" s="3"/>
      <c r="P468" s="3"/>
      <c r="Q468" s="84" t="s">
        <v>382</v>
      </c>
      <c r="R468" s="3"/>
      <c r="S468" s="488">
        <f t="shared" ref="S468:S519" si="51">IF(Q468="○",F468*G468*R468/100,F468*G468)</f>
        <v>0</v>
      </c>
      <c r="T468" s="8">
        <f t="shared" ref="T468:T519" si="52">P468*O468*S468/1000</f>
        <v>0</v>
      </c>
      <c r="U468" s="61">
        <f>T468*係数!$H$30</f>
        <v>0</v>
      </c>
      <c r="V468" s="61">
        <f>T468*係数!$C$30*0.0000258</f>
        <v>0</v>
      </c>
      <c r="W468" s="8">
        <f t="shared" ref="W468:W519" si="53">K468-T468</f>
        <v>0</v>
      </c>
      <c r="X468" s="272">
        <f t="shared" ref="X468:X519" si="54">L468-U468</f>
        <v>0</v>
      </c>
      <c r="Y468" s="489">
        <f t="shared" ref="Y468:Y519" si="55">M468-V468</f>
        <v>0</v>
      </c>
    </row>
    <row r="469" spans="2:25">
      <c r="B469" s="100" t="s">
        <v>813</v>
      </c>
      <c r="C469" s="12"/>
      <c r="D469" s="3"/>
      <c r="E469" s="77"/>
      <c r="F469" s="62"/>
      <c r="G469" s="62"/>
      <c r="H469" s="84" t="s">
        <v>382</v>
      </c>
      <c r="I469" s="3"/>
      <c r="J469" s="60">
        <f t="shared" ref="J469:J519" si="56">IF(H469="○",F469*G469*I469/100,F469*G469)</f>
        <v>0</v>
      </c>
      <c r="K469" s="60">
        <f t="shared" si="50"/>
        <v>0</v>
      </c>
      <c r="L469" s="61">
        <f>K469*係数!$H$30</f>
        <v>0</v>
      </c>
      <c r="M469" s="61">
        <f>K469*係数!$C$30*0.0000258</f>
        <v>0</v>
      </c>
      <c r="N469" s="12"/>
      <c r="O469" s="3"/>
      <c r="P469" s="3"/>
      <c r="Q469" s="84" t="s">
        <v>382</v>
      </c>
      <c r="R469" s="3"/>
      <c r="S469" s="488">
        <f t="shared" si="51"/>
        <v>0</v>
      </c>
      <c r="T469" s="8">
        <f t="shared" si="52"/>
        <v>0</v>
      </c>
      <c r="U469" s="61">
        <f>T469*係数!$H$30</f>
        <v>0</v>
      </c>
      <c r="V469" s="61">
        <f>T469*係数!$C$30*0.0000258</f>
        <v>0</v>
      </c>
      <c r="W469" s="8">
        <f t="shared" si="53"/>
        <v>0</v>
      </c>
      <c r="X469" s="272">
        <f t="shared" si="54"/>
        <v>0</v>
      </c>
      <c r="Y469" s="489">
        <f t="shared" si="55"/>
        <v>0</v>
      </c>
    </row>
    <row r="470" spans="2:25">
      <c r="B470" s="100" t="s">
        <v>814</v>
      </c>
      <c r="C470" s="12"/>
      <c r="D470" s="3"/>
      <c r="E470" s="77"/>
      <c r="F470" s="62"/>
      <c r="G470" s="62"/>
      <c r="H470" s="84" t="s">
        <v>382</v>
      </c>
      <c r="I470" s="3"/>
      <c r="J470" s="60">
        <f t="shared" si="56"/>
        <v>0</v>
      </c>
      <c r="K470" s="60">
        <f t="shared" si="50"/>
        <v>0</v>
      </c>
      <c r="L470" s="61">
        <f>K470*係数!$H$30</f>
        <v>0</v>
      </c>
      <c r="M470" s="61">
        <f>K470*係数!$C$30*0.0000258</f>
        <v>0</v>
      </c>
      <c r="N470" s="12"/>
      <c r="O470" s="3"/>
      <c r="P470" s="3"/>
      <c r="Q470" s="84" t="s">
        <v>382</v>
      </c>
      <c r="R470" s="3"/>
      <c r="S470" s="488">
        <f t="shared" si="51"/>
        <v>0</v>
      </c>
      <c r="T470" s="8">
        <f t="shared" si="52"/>
        <v>0</v>
      </c>
      <c r="U470" s="61">
        <f>T470*係数!$H$30</f>
        <v>0</v>
      </c>
      <c r="V470" s="61">
        <f>T470*係数!$C$30*0.0000258</f>
        <v>0</v>
      </c>
      <c r="W470" s="8">
        <f t="shared" si="53"/>
        <v>0</v>
      </c>
      <c r="X470" s="272">
        <f t="shared" si="54"/>
        <v>0</v>
      </c>
      <c r="Y470" s="489">
        <f t="shared" si="55"/>
        <v>0</v>
      </c>
    </row>
    <row r="471" spans="2:25">
      <c r="B471" s="100" t="s">
        <v>815</v>
      </c>
      <c r="C471" s="12"/>
      <c r="D471" s="3"/>
      <c r="E471" s="77"/>
      <c r="F471" s="62"/>
      <c r="G471" s="62"/>
      <c r="H471" s="84" t="s">
        <v>382</v>
      </c>
      <c r="I471" s="3"/>
      <c r="J471" s="60">
        <f t="shared" si="56"/>
        <v>0</v>
      </c>
      <c r="K471" s="60">
        <f t="shared" si="50"/>
        <v>0</v>
      </c>
      <c r="L471" s="61">
        <f>K471*係数!$H$30</f>
        <v>0</v>
      </c>
      <c r="M471" s="61">
        <f>K471*係数!$C$30*0.0000258</f>
        <v>0</v>
      </c>
      <c r="N471" s="12"/>
      <c r="O471" s="3"/>
      <c r="P471" s="3"/>
      <c r="Q471" s="84" t="s">
        <v>382</v>
      </c>
      <c r="R471" s="3"/>
      <c r="S471" s="488">
        <f t="shared" si="51"/>
        <v>0</v>
      </c>
      <c r="T471" s="8">
        <f t="shared" si="52"/>
        <v>0</v>
      </c>
      <c r="U471" s="61">
        <f>T471*係数!$H$30</f>
        <v>0</v>
      </c>
      <c r="V471" s="61">
        <f>T471*係数!$C$30*0.0000258</f>
        <v>0</v>
      </c>
      <c r="W471" s="8">
        <f t="shared" si="53"/>
        <v>0</v>
      </c>
      <c r="X471" s="272">
        <f t="shared" si="54"/>
        <v>0</v>
      </c>
      <c r="Y471" s="489">
        <f t="shared" si="55"/>
        <v>0</v>
      </c>
    </row>
    <row r="472" spans="2:25">
      <c r="B472" s="100" t="s">
        <v>816</v>
      </c>
      <c r="C472" s="12"/>
      <c r="D472" s="3"/>
      <c r="E472" s="77"/>
      <c r="F472" s="62"/>
      <c r="G472" s="62"/>
      <c r="H472" s="84" t="s">
        <v>382</v>
      </c>
      <c r="I472" s="3"/>
      <c r="J472" s="60">
        <f t="shared" si="56"/>
        <v>0</v>
      </c>
      <c r="K472" s="60">
        <f t="shared" si="50"/>
        <v>0</v>
      </c>
      <c r="L472" s="61">
        <f>K472*係数!$H$30</f>
        <v>0</v>
      </c>
      <c r="M472" s="61">
        <f>K472*係数!$C$30*0.0000258</f>
        <v>0</v>
      </c>
      <c r="N472" s="12"/>
      <c r="O472" s="3"/>
      <c r="P472" s="3"/>
      <c r="Q472" s="84" t="s">
        <v>382</v>
      </c>
      <c r="R472" s="3"/>
      <c r="S472" s="488">
        <f t="shared" si="51"/>
        <v>0</v>
      </c>
      <c r="T472" s="8">
        <f t="shared" si="52"/>
        <v>0</v>
      </c>
      <c r="U472" s="61">
        <f>T472*係数!$H$30</f>
        <v>0</v>
      </c>
      <c r="V472" s="61">
        <f>T472*係数!$C$30*0.0000258</f>
        <v>0</v>
      </c>
      <c r="W472" s="8">
        <f t="shared" si="53"/>
        <v>0</v>
      </c>
      <c r="X472" s="272">
        <f t="shared" si="54"/>
        <v>0</v>
      </c>
      <c r="Y472" s="489">
        <f t="shared" si="55"/>
        <v>0</v>
      </c>
    </row>
    <row r="473" spans="2:25">
      <c r="B473" s="100" t="s">
        <v>817</v>
      </c>
      <c r="C473" s="12"/>
      <c r="D473" s="3"/>
      <c r="E473" s="77"/>
      <c r="F473" s="62"/>
      <c r="G473" s="62"/>
      <c r="H473" s="84" t="s">
        <v>382</v>
      </c>
      <c r="I473" s="3"/>
      <c r="J473" s="60">
        <f t="shared" si="56"/>
        <v>0</v>
      </c>
      <c r="K473" s="60">
        <f t="shared" si="50"/>
        <v>0</v>
      </c>
      <c r="L473" s="61">
        <f>K473*係数!$H$30</f>
        <v>0</v>
      </c>
      <c r="M473" s="61">
        <f>K473*係数!$C$30*0.0000258</f>
        <v>0</v>
      </c>
      <c r="N473" s="12"/>
      <c r="O473" s="3"/>
      <c r="P473" s="3"/>
      <c r="Q473" s="84" t="s">
        <v>382</v>
      </c>
      <c r="R473" s="3"/>
      <c r="S473" s="488">
        <f t="shared" si="51"/>
        <v>0</v>
      </c>
      <c r="T473" s="8">
        <f t="shared" si="52"/>
        <v>0</v>
      </c>
      <c r="U473" s="61">
        <f>T473*係数!$H$30</f>
        <v>0</v>
      </c>
      <c r="V473" s="61">
        <f>T473*係数!$C$30*0.0000258</f>
        <v>0</v>
      </c>
      <c r="W473" s="8">
        <f t="shared" si="53"/>
        <v>0</v>
      </c>
      <c r="X473" s="272">
        <f t="shared" si="54"/>
        <v>0</v>
      </c>
      <c r="Y473" s="489">
        <f t="shared" si="55"/>
        <v>0</v>
      </c>
    </row>
    <row r="474" spans="2:25">
      <c r="B474" s="100" t="s">
        <v>818</v>
      </c>
      <c r="C474" s="12"/>
      <c r="D474" s="3"/>
      <c r="E474" s="77"/>
      <c r="F474" s="62"/>
      <c r="G474" s="62"/>
      <c r="H474" s="84" t="s">
        <v>382</v>
      </c>
      <c r="I474" s="3"/>
      <c r="J474" s="60">
        <f t="shared" si="56"/>
        <v>0</v>
      </c>
      <c r="K474" s="60">
        <f t="shared" si="50"/>
        <v>0</v>
      </c>
      <c r="L474" s="61">
        <f>K474*係数!$H$30</f>
        <v>0</v>
      </c>
      <c r="M474" s="61">
        <f>K474*係数!$C$30*0.0000258</f>
        <v>0</v>
      </c>
      <c r="N474" s="12"/>
      <c r="O474" s="3"/>
      <c r="P474" s="3"/>
      <c r="Q474" s="84" t="s">
        <v>382</v>
      </c>
      <c r="R474" s="3"/>
      <c r="S474" s="488">
        <f t="shared" si="51"/>
        <v>0</v>
      </c>
      <c r="T474" s="8">
        <f t="shared" si="52"/>
        <v>0</v>
      </c>
      <c r="U474" s="61">
        <f>T474*係数!$H$30</f>
        <v>0</v>
      </c>
      <c r="V474" s="61">
        <f>T474*係数!$C$30*0.0000258</f>
        <v>0</v>
      </c>
      <c r="W474" s="8">
        <f t="shared" si="53"/>
        <v>0</v>
      </c>
      <c r="X474" s="272">
        <f t="shared" si="54"/>
        <v>0</v>
      </c>
      <c r="Y474" s="489">
        <f t="shared" si="55"/>
        <v>0</v>
      </c>
    </row>
    <row r="475" spans="2:25">
      <c r="B475" s="100" t="s">
        <v>819</v>
      </c>
      <c r="C475" s="12"/>
      <c r="D475" s="3"/>
      <c r="E475" s="77"/>
      <c r="F475" s="62"/>
      <c r="G475" s="62"/>
      <c r="H475" s="84" t="s">
        <v>382</v>
      </c>
      <c r="I475" s="3"/>
      <c r="J475" s="60">
        <f t="shared" si="56"/>
        <v>0</v>
      </c>
      <c r="K475" s="60">
        <f t="shared" si="50"/>
        <v>0</v>
      </c>
      <c r="L475" s="61">
        <f>K475*係数!$H$30</f>
        <v>0</v>
      </c>
      <c r="M475" s="61">
        <f>K475*係数!$C$30*0.0000258</f>
        <v>0</v>
      </c>
      <c r="N475" s="12"/>
      <c r="O475" s="3"/>
      <c r="P475" s="3"/>
      <c r="Q475" s="84" t="s">
        <v>382</v>
      </c>
      <c r="R475" s="3"/>
      <c r="S475" s="488">
        <f t="shared" si="51"/>
        <v>0</v>
      </c>
      <c r="T475" s="8">
        <f t="shared" si="52"/>
        <v>0</v>
      </c>
      <c r="U475" s="61">
        <f>T475*係数!$H$30</f>
        <v>0</v>
      </c>
      <c r="V475" s="61">
        <f>T475*係数!$C$30*0.0000258</f>
        <v>0</v>
      </c>
      <c r="W475" s="8">
        <f t="shared" si="53"/>
        <v>0</v>
      </c>
      <c r="X475" s="272">
        <f t="shared" si="54"/>
        <v>0</v>
      </c>
      <c r="Y475" s="489">
        <f t="shared" si="55"/>
        <v>0</v>
      </c>
    </row>
    <row r="476" spans="2:25">
      <c r="B476" s="100" t="s">
        <v>820</v>
      </c>
      <c r="C476" s="12"/>
      <c r="D476" s="3"/>
      <c r="E476" s="77"/>
      <c r="F476" s="62"/>
      <c r="G476" s="62"/>
      <c r="H476" s="84" t="s">
        <v>382</v>
      </c>
      <c r="I476" s="3"/>
      <c r="J476" s="60">
        <f t="shared" si="56"/>
        <v>0</v>
      </c>
      <c r="K476" s="60">
        <f t="shared" si="50"/>
        <v>0</v>
      </c>
      <c r="L476" s="61">
        <f>K476*係数!$H$30</f>
        <v>0</v>
      </c>
      <c r="M476" s="61">
        <f>K476*係数!$C$30*0.0000258</f>
        <v>0</v>
      </c>
      <c r="N476" s="12"/>
      <c r="O476" s="3"/>
      <c r="P476" s="3"/>
      <c r="Q476" s="84" t="s">
        <v>382</v>
      </c>
      <c r="R476" s="3"/>
      <c r="S476" s="488">
        <f t="shared" si="51"/>
        <v>0</v>
      </c>
      <c r="T476" s="8">
        <f t="shared" si="52"/>
        <v>0</v>
      </c>
      <c r="U476" s="61">
        <f>T476*係数!$H$30</f>
        <v>0</v>
      </c>
      <c r="V476" s="61">
        <f>T476*係数!$C$30*0.0000258</f>
        <v>0</v>
      </c>
      <c r="W476" s="8">
        <f t="shared" si="53"/>
        <v>0</v>
      </c>
      <c r="X476" s="272">
        <f t="shared" si="54"/>
        <v>0</v>
      </c>
      <c r="Y476" s="489">
        <f t="shared" si="55"/>
        <v>0</v>
      </c>
    </row>
    <row r="477" spans="2:25">
      <c r="B477" s="100" t="s">
        <v>821</v>
      </c>
      <c r="C477" s="12"/>
      <c r="D477" s="3"/>
      <c r="E477" s="77"/>
      <c r="F477" s="62"/>
      <c r="G477" s="62"/>
      <c r="H477" s="84" t="s">
        <v>382</v>
      </c>
      <c r="I477" s="3"/>
      <c r="J477" s="60">
        <f t="shared" si="56"/>
        <v>0</v>
      </c>
      <c r="K477" s="60">
        <f t="shared" si="50"/>
        <v>0</v>
      </c>
      <c r="L477" s="61">
        <f>K477*係数!$H$30</f>
        <v>0</v>
      </c>
      <c r="M477" s="61">
        <f>K477*係数!$C$30*0.0000258</f>
        <v>0</v>
      </c>
      <c r="N477" s="12"/>
      <c r="O477" s="3"/>
      <c r="P477" s="3"/>
      <c r="Q477" s="84" t="s">
        <v>382</v>
      </c>
      <c r="R477" s="3"/>
      <c r="S477" s="488">
        <f t="shared" si="51"/>
        <v>0</v>
      </c>
      <c r="T477" s="8">
        <f t="shared" si="52"/>
        <v>0</v>
      </c>
      <c r="U477" s="61">
        <f>T477*係数!$H$30</f>
        <v>0</v>
      </c>
      <c r="V477" s="61">
        <f>T477*係数!$C$30*0.0000258</f>
        <v>0</v>
      </c>
      <c r="W477" s="8">
        <f t="shared" si="53"/>
        <v>0</v>
      </c>
      <c r="X477" s="272">
        <f t="shared" si="54"/>
        <v>0</v>
      </c>
      <c r="Y477" s="489">
        <f t="shared" si="55"/>
        <v>0</v>
      </c>
    </row>
    <row r="478" spans="2:25">
      <c r="B478" s="100" t="s">
        <v>822</v>
      </c>
      <c r="C478" s="12"/>
      <c r="D478" s="3"/>
      <c r="E478" s="77"/>
      <c r="F478" s="62"/>
      <c r="G478" s="62"/>
      <c r="H478" s="84" t="s">
        <v>382</v>
      </c>
      <c r="I478" s="3"/>
      <c r="J478" s="60">
        <f t="shared" si="56"/>
        <v>0</v>
      </c>
      <c r="K478" s="60">
        <f t="shared" si="50"/>
        <v>0</v>
      </c>
      <c r="L478" s="61">
        <f>K478*係数!$H$30</f>
        <v>0</v>
      </c>
      <c r="M478" s="61">
        <f>K478*係数!$C$30*0.0000258</f>
        <v>0</v>
      </c>
      <c r="N478" s="12"/>
      <c r="O478" s="3"/>
      <c r="P478" s="3"/>
      <c r="Q478" s="84" t="s">
        <v>382</v>
      </c>
      <c r="R478" s="3"/>
      <c r="S478" s="488">
        <f t="shared" si="51"/>
        <v>0</v>
      </c>
      <c r="T478" s="8">
        <f t="shared" si="52"/>
        <v>0</v>
      </c>
      <c r="U478" s="61">
        <f>T478*係数!$H$30</f>
        <v>0</v>
      </c>
      <c r="V478" s="61">
        <f>T478*係数!$C$30*0.0000258</f>
        <v>0</v>
      </c>
      <c r="W478" s="8">
        <f t="shared" si="53"/>
        <v>0</v>
      </c>
      <c r="X478" s="272">
        <f t="shared" si="54"/>
        <v>0</v>
      </c>
      <c r="Y478" s="489">
        <f t="shared" si="55"/>
        <v>0</v>
      </c>
    </row>
    <row r="479" spans="2:25">
      <c r="B479" s="100" t="s">
        <v>823</v>
      </c>
      <c r="C479" s="12"/>
      <c r="D479" s="3"/>
      <c r="E479" s="77"/>
      <c r="F479" s="62"/>
      <c r="G479" s="62"/>
      <c r="H479" s="84" t="s">
        <v>382</v>
      </c>
      <c r="I479" s="3"/>
      <c r="J479" s="60">
        <f t="shared" si="56"/>
        <v>0</v>
      </c>
      <c r="K479" s="60">
        <f t="shared" si="50"/>
        <v>0</v>
      </c>
      <c r="L479" s="61">
        <f>K479*係数!$H$30</f>
        <v>0</v>
      </c>
      <c r="M479" s="61">
        <f>K479*係数!$C$30*0.0000258</f>
        <v>0</v>
      </c>
      <c r="N479" s="12"/>
      <c r="O479" s="3"/>
      <c r="P479" s="3"/>
      <c r="Q479" s="84" t="s">
        <v>382</v>
      </c>
      <c r="R479" s="3"/>
      <c r="S479" s="488">
        <f t="shared" si="51"/>
        <v>0</v>
      </c>
      <c r="T479" s="8">
        <f t="shared" si="52"/>
        <v>0</v>
      </c>
      <c r="U479" s="61">
        <f>T479*係数!$H$30</f>
        <v>0</v>
      </c>
      <c r="V479" s="61">
        <f>T479*係数!$C$30*0.0000258</f>
        <v>0</v>
      </c>
      <c r="W479" s="8">
        <f t="shared" si="53"/>
        <v>0</v>
      </c>
      <c r="X479" s="272">
        <f t="shared" si="54"/>
        <v>0</v>
      </c>
      <c r="Y479" s="489">
        <f t="shared" si="55"/>
        <v>0</v>
      </c>
    </row>
    <row r="480" spans="2:25">
      <c r="B480" s="100" t="s">
        <v>824</v>
      </c>
      <c r="C480" s="12"/>
      <c r="D480" s="3"/>
      <c r="E480" s="77"/>
      <c r="F480" s="62"/>
      <c r="G480" s="62"/>
      <c r="H480" s="84" t="s">
        <v>382</v>
      </c>
      <c r="I480" s="3"/>
      <c r="J480" s="60">
        <f t="shared" si="56"/>
        <v>0</v>
      </c>
      <c r="K480" s="60">
        <f t="shared" si="50"/>
        <v>0</v>
      </c>
      <c r="L480" s="61">
        <f>K480*係数!$H$30</f>
        <v>0</v>
      </c>
      <c r="M480" s="61">
        <f>K480*係数!$C$30*0.0000258</f>
        <v>0</v>
      </c>
      <c r="N480" s="12"/>
      <c r="O480" s="3"/>
      <c r="P480" s="3"/>
      <c r="Q480" s="84" t="s">
        <v>382</v>
      </c>
      <c r="R480" s="3"/>
      <c r="S480" s="488">
        <f t="shared" si="51"/>
        <v>0</v>
      </c>
      <c r="T480" s="8">
        <f t="shared" si="52"/>
        <v>0</v>
      </c>
      <c r="U480" s="61">
        <f>T480*係数!$H$30</f>
        <v>0</v>
      </c>
      <c r="V480" s="61">
        <f>T480*係数!$C$30*0.0000258</f>
        <v>0</v>
      </c>
      <c r="W480" s="8">
        <f t="shared" si="53"/>
        <v>0</v>
      </c>
      <c r="X480" s="272">
        <f t="shared" si="54"/>
        <v>0</v>
      </c>
      <c r="Y480" s="489">
        <f t="shared" si="55"/>
        <v>0</v>
      </c>
    </row>
    <row r="481" spans="2:25">
      <c r="B481" s="100" t="s">
        <v>825</v>
      </c>
      <c r="C481" s="12"/>
      <c r="D481" s="3"/>
      <c r="E481" s="77"/>
      <c r="F481" s="62"/>
      <c r="G481" s="62"/>
      <c r="H481" s="84" t="s">
        <v>382</v>
      </c>
      <c r="I481" s="3"/>
      <c r="J481" s="60">
        <f t="shared" si="56"/>
        <v>0</v>
      </c>
      <c r="K481" s="60">
        <f t="shared" si="50"/>
        <v>0</v>
      </c>
      <c r="L481" s="61">
        <f>K481*係数!$H$30</f>
        <v>0</v>
      </c>
      <c r="M481" s="61">
        <f>K481*係数!$C$30*0.0000258</f>
        <v>0</v>
      </c>
      <c r="N481" s="12"/>
      <c r="O481" s="3"/>
      <c r="P481" s="3"/>
      <c r="Q481" s="84" t="s">
        <v>382</v>
      </c>
      <c r="R481" s="3"/>
      <c r="S481" s="488">
        <f t="shared" si="51"/>
        <v>0</v>
      </c>
      <c r="T481" s="8">
        <f t="shared" si="52"/>
        <v>0</v>
      </c>
      <c r="U481" s="61">
        <f>T481*係数!$H$30</f>
        <v>0</v>
      </c>
      <c r="V481" s="61">
        <f>T481*係数!$C$30*0.0000258</f>
        <v>0</v>
      </c>
      <c r="W481" s="8">
        <f t="shared" si="53"/>
        <v>0</v>
      </c>
      <c r="X481" s="272">
        <f t="shared" si="54"/>
        <v>0</v>
      </c>
      <c r="Y481" s="489">
        <f t="shared" si="55"/>
        <v>0</v>
      </c>
    </row>
    <row r="482" spans="2:25">
      <c r="B482" s="100" t="s">
        <v>826</v>
      </c>
      <c r="C482" s="12"/>
      <c r="D482" s="3"/>
      <c r="E482" s="77"/>
      <c r="F482" s="62"/>
      <c r="G482" s="62"/>
      <c r="H482" s="84" t="s">
        <v>382</v>
      </c>
      <c r="I482" s="3"/>
      <c r="J482" s="60">
        <f t="shared" si="56"/>
        <v>0</v>
      </c>
      <c r="K482" s="60">
        <f t="shared" si="50"/>
        <v>0</v>
      </c>
      <c r="L482" s="61">
        <f>K482*係数!$H$30</f>
        <v>0</v>
      </c>
      <c r="M482" s="61">
        <f>K482*係数!$C$30*0.0000258</f>
        <v>0</v>
      </c>
      <c r="N482" s="12"/>
      <c r="O482" s="3"/>
      <c r="P482" s="3"/>
      <c r="Q482" s="84" t="s">
        <v>382</v>
      </c>
      <c r="R482" s="3"/>
      <c r="S482" s="488">
        <f t="shared" si="51"/>
        <v>0</v>
      </c>
      <c r="T482" s="8">
        <f t="shared" si="52"/>
        <v>0</v>
      </c>
      <c r="U482" s="61">
        <f>T482*係数!$H$30</f>
        <v>0</v>
      </c>
      <c r="V482" s="61">
        <f>T482*係数!$C$30*0.0000258</f>
        <v>0</v>
      </c>
      <c r="W482" s="8">
        <f t="shared" si="53"/>
        <v>0</v>
      </c>
      <c r="X482" s="272">
        <f t="shared" si="54"/>
        <v>0</v>
      </c>
      <c r="Y482" s="489">
        <f t="shared" si="55"/>
        <v>0</v>
      </c>
    </row>
    <row r="483" spans="2:25">
      <c r="B483" s="100" t="s">
        <v>827</v>
      </c>
      <c r="C483" s="12"/>
      <c r="D483" s="3"/>
      <c r="E483" s="77"/>
      <c r="F483" s="62"/>
      <c r="G483" s="62"/>
      <c r="H483" s="84" t="s">
        <v>382</v>
      </c>
      <c r="I483" s="3"/>
      <c r="J483" s="60">
        <f t="shared" si="56"/>
        <v>0</v>
      </c>
      <c r="K483" s="60">
        <f t="shared" si="50"/>
        <v>0</v>
      </c>
      <c r="L483" s="61">
        <f>K483*係数!$H$30</f>
        <v>0</v>
      </c>
      <c r="M483" s="61">
        <f>K483*係数!$C$30*0.0000258</f>
        <v>0</v>
      </c>
      <c r="N483" s="12"/>
      <c r="O483" s="3"/>
      <c r="P483" s="3"/>
      <c r="Q483" s="84" t="s">
        <v>382</v>
      </c>
      <c r="R483" s="3"/>
      <c r="S483" s="488">
        <f t="shared" si="51"/>
        <v>0</v>
      </c>
      <c r="T483" s="8">
        <f t="shared" si="52"/>
        <v>0</v>
      </c>
      <c r="U483" s="61">
        <f>T483*係数!$H$30</f>
        <v>0</v>
      </c>
      <c r="V483" s="61">
        <f>T483*係数!$C$30*0.0000258</f>
        <v>0</v>
      </c>
      <c r="W483" s="8">
        <f t="shared" si="53"/>
        <v>0</v>
      </c>
      <c r="X483" s="272">
        <f t="shared" si="54"/>
        <v>0</v>
      </c>
      <c r="Y483" s="489">
        <f t="shared" si="55"/>
        <v>0</v>
      </c>
    </row>
    <row r="484" spans="2:25">
      <c r="B484" s="100" t="s">
        <v>828</v>
      </c>
      <c r="C484" s="12"/>
      <c r="D484" s="3"/>
      <c r="E484" s="77"/>
      <c r="F484" s="62"/>
      <c r="G484" s="62"/>
      <c r="H484" s="84" t="s">
        <v>382</v>
      </c>
      <c r="I484" s="3"/>
      <c r="J484" s="60">
        <f t="shared" si="56"/>
        <v>0</v>
      </c>
      <c r="K484" s="60">
        <f t="shared" si="50"/>
        <v>0</v>
      </c>
      <c r="L484" s="61">
        <f>K484*係数!$H$30</f>
        <v>0</v>
      </c>
      <c r="M484" s="61">
        <f>K484*係数!$C$30*0.0000258</f>
        <v>0</v>
      </c>
      <c r="N484" s="12"/>
      <c r="O484" s="3"/>
      <c r="P484" s="3"/>
      <c r="Q484" s="84" t="s">
        <v>382</v>
      </c>
      <c r="R484" s="3"/>
      <c r="S484" s="488">
        <f t="shared" si="51"/>
        <v>0</v>
      </c>
      <c r="T484" s="8">
        <f t="shared" si="52"/>
        <v>0</v>
      </c>
      <c r="U484" s="61">
        <f>T484*係数!$H$30</f>
        <v>0</v>
      </c>
      <c r="V484" s="61">
        <f>T484*係数!$C$30*0.0000258</f>
        <v>0</v>
      </c>
      <c r="W484" s="8">
        <f t="shared" si="53"/>
        <v>0</v>
      </c>
      <c r="X484" s="272">
        <f t="shared" si="54"/>
        <v>0</v>
      </c>
      <c r="Y484" s="489">
        <f t="shared" si="55"/>
        <v>0</v>
      </c>
    </row>
    <row r="485" spans="2:25">
      <c r="B485" s="100" t="s">
        <v>829</v>
      </c>
      <c r="C485" s="12"/>
      <c r="D485" s="3"/>
      <c r="E485" s="77"/>
      <c r="F485" s="62"/>
      <c r="G485" s="62"/>
      <c r="H485" s="84" t="s">
        <v>382</v>
      </c>
      <c r="I485" s="3"/>
      <c r="J485" s="60">
        <f t="shared" si="56"/>
        <v>0</v>
      </c>
      <c r="K485" s="60">
        <f t="shared" si="50"/>
        <v>0</v>
      </c>
      <c r="L485" s="61">
        <f>K485*係数!$H$30</f>
        <v>0</v>
      </c>
      <c r="M485" s="61">
        <f>K485*係数!$C$30*0.0000258</f>
        <v>0</v>
      </c>
      <c r="N485" s="12"/>
      <c r="O485" s="3"/>
      <c r="P485" s="3"/>
      <c r="Q485" s="84" t="s">
        <v>382</v>
      </c>
      <c r="R485" s="3"/>
      <c r="S485" s="488">
        <f t="shared" si="51"/>
        <v>0</v>
      </c>
      <c r="T485" s="8">
        <f t="shared" si="52"/>
        <v>0</v>
      </c>
      <c r="U485" s="61">
        <f>T485*係数!$H$30</f>
        <v>0</v>
      </c>
      <c r="V485" s="61">
        <f>T485*係数!$C$30*0.0000258</f>
        <v>0</v>
      </c>
      <c r="W485" s="8">
        <f t="shared" si="53"/>
        <v>0</v>
      </c>
      <c r="X485" s="272">
        <f t="shared" si="54"/>
        <v>0</v>
      </c>
      <c r="Y485" s="489">
        <f t="shared" si="55"/>
        <v>0</v>
      </c>
    </row>
    <row r="486" spans="2:25">
      <c r="B486" s="100" t="s">
        <v>830</v>
      </c>
      <c r="C486" s="12"/>
      <c r="D486" s="3"/>
      <c r="E486" s="77"/>
      <c r="F486" s="62"/>
      <c r="G486" s="62"/>
      <c r="H486" s="84" t="s">
        <v>382</v>
      </c>
      <c r="I486" s="3"/>
      <c r="J486" s="60">
        <f t="shared" si="56"/>
        <v>0</v>
      </c>
      <c r="K486" s="60">
        <f t="shared" si="50"/>
        <v>0</v>
      </c>
      <c r="L486" s="61">
        <f>K486*係数!$H$30</f>
        <v>0</v>
      </c>
      <c r="M486" s="61">
        <f>K486*係数!$C$30*0.0000258</f>
        <v>0</v>
      </c>
      <c r="N486" s="12"/>
      <c r="O486" s="3"/>
      <c r="P486" s="3"/>
      <c r="Q486" s="84" t="s">
        <v>382</v>
      </c>
      <c r="R486" s="3"/>
      <c r="S486" s="488">
        <f t="shared" si="51"/>
        <v>0</v>
      </c>
      <c r="T486" s="8">
        <f t="shared" si="52"/>
        <v>0</v>
      </c>
      <c r="U486" s="61">
        <f>T486*係数!$H$30</f>
        <v>0</v>
      </c>
      <c r="V486" s="61">
        <f>T486*係数!$C$30*0.0000258</f>
        <v>0</v>
      </c>
      <c r="W486" s="8">
        <f t="shared" si="53"/>
        <v>0</v>
      </c>
      <c r="X486" s="272">
        <f t="shared" si="54"/>
        <v>0</v>
      </c>
      <c r="Y486" s="489">
        <f t="shared" si="55"/>
        <v>0</v>
      </c>
    </row>
    <row r="487" spans="2:25">
      <c r="B487" s="100" t="s">
        <v>831</v>
      </c>
      <c r="C487" s="12"/>
      <c r="D487" s="3"/>
      <c r="E487" s="77"/>
      <c r="F487" s="62"/>
      <c r="G487" s="62"/>
      <c r="H487" s="84" t="s">
        <v>382</v>
      </c>
      <c r="I487" s="3"/>
      <c r="J487" s="60">
        <f t="shared" si="56"/>
        <v>0</v>
      </c>
      <c r="K487" s="60">
        <f t="shared" si="50"/>
        <v>0</v>
      </c>
      <c r="L487" s="61">
        <f>K487*係数!$H$30</f>
        <v>0</v>
      </c>
      <c r="M487" s="61">
        <f>K487*係数!$C$30*0.0000258</f>
        <v>0</v>
      </c>
      <c r="N487" s="12"/>
      <c r="O487" s="3"/>
      <c r="P487" s="3"/>
      <c r="Q487" s="84" t="s">
        <v>382</v>
      </c>
      <c r="R487" s="3"/>
      <c r="S487" s="488">
        <f t="shared" si="51"/>
        <v>0</v>
      </c>
      <c r="T487" s="8">
        <f t="shared" si="52"/>
        <v>0</v>
      </c>
      <c r="U487" s="61">
        <f>T487*係数!$H$30</f>
        <v>0</v>
      </c>
      <c r="V487" s="61">
        <f>T487*係数!$C$30*0.0000258</f>
        <v>0</v>
      </c>
      <c r="W487" s="8">
        <f t="shared" si="53"/>
        <v>0</v>
      </c>
      <c r="X487" s="272">
        <f t="shared" si="54"/>
        <v>0</v>
      </c>
      <c r="Y487" s="489">
        <f t="shared" si="55"/>
        <v>0</v>
      </c>
    </row>
    <row r="488" spans="2:25">
      <c r="B488" s="100" t="s">
        <v>832</v>
      </c>
      <c r="C488" s="12"/>
      <c r="D488" s="3"/>
      <c r="E488" s="77"/>
      <c r="F488" s="62"/>
      <c r="G488" s="62"/>
      <c r="H488" s="84" t="s">
        <v>382</v>
      </c>
      <c r="I488" s="3"/>
      <c r="J488" s="60">
        <f t="shared" si="56"/>
        <v>0</v>
      </c>
      <c r="K488" s="60">
        <f t="shared" si="50"/>
        <v>0</v>
      </c>
      <c r="L488" s="61">
        <f>K488*係数!$H$30</f>
        <v>0</v>
      </c>
      <c r="M488" s="61">
        <f>K488*係数!$C$30*0.0000258</f>
        <v>0</v>
      </c>
      <c r="N488" s="12"/>
      <c r="O488" s="3"/>
      <c r="P488" s="3"/>
      <c r="Q488" s="84" t="s">
        <v>382</v>
      </c>
      <c r="R488" s="3"/>
      <c r="S488" s="488">
        <f t="shared" si="51"/>
        <v>0</v>
      </c>
      <c r="T488" s="8">
        <f t="shared" si="52"/>
        <v>0</v>
      </c>
      <c r="U488" s="61">
        <f>T488*係数!$H$30</f>
        <v>0</v>
      </c>
      <c r="V488" s="61">
        <f>T488*係数!$C$30*0.0000258</f>
        <v>0</v>
      </c>
      <c r="W488" s="8">
        <f t="shared" si="53"/>
        <v>0</v>
      </c>
      <c r="X488" s="272">
        <f t="shared" si="54"/>
        <v>0</v>
      </c>
      <c r="Y488" s="489">
        <f t="shared" si="55"/>
        <v>0</v>
      </c>
    </row>
    <row r="489" spans="2:25">
      <c r="B489" s="100" t="s">
        <v>833</v>
      </c>
      <c r="C489" s="12"/>
      <c r="D489" s="3"/>
      <c r="E489" s="77"/>
      <c r="F489" s="62"/>
      <c r="G489" s="62"/>
      <c r="H489" s="84" t="s">
        <v>382</v>
      </c>
      <c r="I489" s="3"/>
      <c r="J489" s="60">
        <f t="shared" si="56"/>
        <v>0</v>
      </c>
      <c r="K489" s="60">
        <f t="shared" si="50"/>
        <v>0</v>
      </c>
      <c r="L489" s="61">
        <f>K489*係数!$H$30</f>
        <v>0</v>
      </c>
      <c r="M489" s="61">
        <f>K489*係数!$C$30*0.0000258</f>
        <v>0</v>
      </c>
      <c r="N489" s="12"/>
      <c r="O489" s="3"/>
      <c r="P489" s="3"/>
      <c r="Q489" s="84" t="s">
        <v>382</v>
      </c>
      <c r="R489" s="3"/>
      <c r="S489" s="488">
        <f t="shared" si="51"/>
        <v>0</v>
      </c>
      <c r="T489" s="8">
        <f t="shared" si="52"/>
        <v>0</v>
      </c>
      <c r="U489" s="61">
        <f>T489*係数!$H$30</f>
        <v>0</v>
      </c>
      <c r="V489" s="61">
        <f>T489*係数!$C$30*0.0000258</f>
        <v>0</v>
      </c>
      <c r="W489" s="8">
        <f t="shared" si="53"/>
        <v>0</v>
      </c>
      <c r="X489" s="272">
        <f t="shared" si="54"/>
        <v>0</v>
      </c>
      <c r="Y489" s="489">
        <f t="shared" si="55"/>
        <v>0</v>
      </c>
    </row>
    <row r="490" spans="2:25">
      <c r="B490" s="100" t="s">
        <v>834</v>
      </c>
      <c r="C490" s="12"/>
      <c r="D490" s="3"/>
      <c r="E490" s="77"/>
      <c r="F490" s="62"/>
      <c r="G490" s="62"/>
      <c r="H490" s="84" t="s">
        <v>382</v>
      </c>
      <c r="I490" s="3"/>
      <c r="J490" s="60">
        <f t="shared" si="56"/>
        <v>0</v>
      </c>
      <c r="K490" s="60">
        <f t="shared" si="50"/>
        <v>0</v>
      </c>
      <c r="L490" s="61">
        <f>K490*係数!$H$30</f>
        <v>0</v>
      </c>
      <c r="M490" s="61">
        <f>K490*係数!$C$30*0.0000258</f>
        <v>0</v>
      </c>
      <c r="N490" s="12"/>
      <c r="O490" s="3"/>
      <c r="P490" s="3"/>
      <c r="Q490" s="84" t="s">
        <v>382</v>
      </c>
      <c r="R490" s="3"/>
      <c r="S490" s="488">
        <f t="shared" si="51"/>
        <v>0</v>
      </c>
      <c r="T490" s="8">
        <f t="shared" si="52"/>
        <v>0</v>
      </c>
      <c r="U490" s="61">
        <f>T490*係数!$H$30</f>
        <v>0</v>
      </c>
      <c r="V490" s="61">
        <f>T490*係数!$C$30*0.0000258</f>
        <v>0</v>
      </c>
      <c r="W490" s="8">
        <f t="shared" si="53"/>
        <v>0</v>
      </c>
      <c r="X490" s="272">
        <f t="shared" si="54"/>
        <v>0</v>
      </c>
      <c r="Y490" s="489">
        <f t="shared" si="55"/>
        <v>0</v>
      </c>
    </row>
    <row r="491" spans="2:25">
      <c r="B491" s="100" t="s">
        <v>835</v>
      </c>
      <c r="C491" s="12"/>
      <c r="D491" s="3"/>
      <c r="E491" s="77"/>
      <c r="F491" s="62"/>
      <c r="G491" s="62"/>
      <c r="H491" s="84" t="s">
        <v>382</v>
      </c>
      <c r="I491" s="3"/>
      <c r="J491" s="60">
        <f t="shared" si="56"/>
        <v>0</v>
      </c>
      <c r="K491" s="60">
        <f t="shared" si="50"/>
        <v>0</v>
      </c>
      <c r="L491" s="61">
        <f>K491*係数!$H$30</f>
        <v>0</v>
      </c>
      <c r="M491" s="61">
        <f>K491*係数!$C$30*0.0000258</f>
        <v>0</v>
      </c>
      <c r="N491" s="12"/>
      <c r="O491" s="3"/>
      <c r="P491" s="3"/>
      <c r="Q491" s="84" t="s">
        <v>382</v>
      </c>
      <c r="R491" s="3"/>
      <c r="S491" s="488">
        <f t="shared" si="51"/>
        <v>0</v>
      </c>
      <c r="T491" s="8">
        <f t="shared" si="52"/>
        <v>0</v>
      </c>
      <c r="U491" s="61">
        <f>T491*係数!$H$30</f>
        <v>0</v>
      </c>
      <c r="V491" s="61">
        <f>T491*係数!$C$30*0.0000258</f>
        <v>0</v>
      </c>
      <c r="W491" s="8">
        <f t="shared" si="53"/>
        <v>0</v>
      </c>
      <c r="X491" s="272">
        <f t="shared" si="54"/>
        <v>0</v>
      </c>
      <c r="Y491" s="489">
        <f t="shared" si="55"/>
        <v>0</v>
      </c>
    </row>
    <row r="492" spans="2:25">
      <c r="B492" s="100" t="s">
        <v>836</v>
      </c>
      <c r="C492" s="12"/>
      <c r="D492" s="3"/>
      <c r="E492" s="77"/>
      <c r="F492" s="62"/>
      <c r="G492" s="62"/>
      <c r="H492" s="84" t="s">
        <v>382</v>
      </c>
      <c r="I492" s="3"/>
      <c r="J492" s="60">
        <f t="shared" si="56"/>
        <v>0</v>
      </c>
      <c r="K492" s="60">
        <f t="shared" si="50"/>
        <v>0</v>
      </c>
      <c r="L492" s="61">
        <f>K492*係数!$H$30</f>
        <v>0</v>
      </c>
      <c r="M492" s="61">
        <f>K492*係数!$C$30*0.0000258</f>
        <v>0</v>
      </c>
      <c r="N492" s="12"/>
      <c r="O492" s="3"/>
      <c r="P492" s="3"/>
      <c r="Q492" s="84" t="s">
        <v>382</v>
      </c>
      <c r="R492" s="3"/>
      <c r="S492" s="488">
        <f t="shared" si="51"/>
        <v>0</v>
      </c>
      <c r="T492" s="8">
        <f t="shared" si="52"/>
        <v>0</v>
      </c>
      <c r="U492" s="61">
        <f>T492*係数!$H$30</f>
        <v>0</v>
      </c>
      <c r="V492" s="61">
        <f>T492*係数!$C$30*0.0000258</f>
        <v>0</v>
      </c>
      <c r="W492" s="8">
        <f t="shared" si="53"/>
        <v>0</v>
      </c>
      <c r="X492" s="272">
        <f t="shared" si="54"/>
        <v>0</v>
      </c>
      <c r="Y492" s="489">
        <f t="shared" si="55"/>
        <v>0</v>
      </c>
    </row>
    <row r="493" spans="2:25">
      <c r="B493" s="100" t="s">
        <v>837</v>
      </c>
      <c r="C493" s="12"/>
      <c r="D493" s="3"/>
      <c r="E493" s="77"/>
      <c r="F493" s="62"/>
      <c r="G493" s="62"/>
      <c r="H493" s="84" t="s">
        <v>382</v>
      </c>
      <c r="I493" s="3"/>
      <c r="J493" s="60">
        <f t="shared" si="56"/>
        <v>0</v>
      </c>
      <c r="K493" s="60">
        <f t="shared" si="50"/>
        <v>0</v>
      </c>
      <c r="L493" s="61">
        <f>K493*係数!$H$30</f>
        <v>0</v>
      </c>
      <c r="M493" s="61">
        <f>K493*係数!$C$30*0.0000258</f>
        <v>0</v>
      </c>
      <c r="N493" s="12"/>
      <c r="O493" s="3"/>
      <c r="P493" s="3"/>
      <c r="Q493" s="84" t="s">
        <v>382</v>
      </c>
      <c r="R493" s="3"/>
      <c r="S493" s="488">
        <f t="shared" si="51"/>
        <v>0</v>
      </c>
      <c r="T493" s="8">
        <f t="shared" si="52"/>
        <v>0</v>
      </c>
      <c r="U493" s="61">
        <f>T493*係数!$H$30</f>
        <v>0</v>
      </c>
      <c r="V493" s="61">
        <f>T493*係数!$C$30*0.0000258</f>
        <v>0</v>
      </c>
      <c r="W493" s="8">
        <f t="shared" si="53"/>
        <v>0</v>
      </c>
      <c r="X493" s="272">
        <f t="shared" si="54"/>
        <v>0</v>
      </c>
      <c r="Y493" s="489">
        <f t="shared" si="55"/>
        <v>0</v>
      </c>
    </row>
    <row r="494" spans="2:25">
      <c r="B494" s="100" t="s">
        <v>838</v>
      </c>
      <c r="C494" s="12"/>
      <c r="D494" s="3"/>
      <c r="E494" s="77"/>
      <c r="F494" s="62"/>
      <c r="G494" s="62"/>
      <c r="H494" s="84" t="s">
        <v>382</v>
      </c>
      <c r="I494" s="3"/>
      <c r="J494" s="60">
        <f t="shared" si="56"/>
        <v>0</v>
      </c>
      <c r="K494" s="60">
        <f t="shared" si="50"/>
        <v>0</v>
      </c>
      <c r="L494" s="61">
        <f>K494*係数!$H$30</f>
        <v>0</v>
      </c>
      <c r="M494" s="61">
        <f>K494*係数!$C$30*0.0000258</f>
        <v>0</v>
      </c>
      <c r="N494" s="12"/>
      <c r="O494" s="3"/>
      <c r="P494" s="3"/>
      <c r="Q494" s="84" t="s">
        <v>382</v>
      </c>
      <c r="R494" s="3"/>
      <c r="S494" s="488">
        <f t="shared" si="51"/>
        <v>0</v>
      </c>
      <c r="T494" s="8">
        <f t="shared" si="52"/>
        <v>0</v>
      </c>
      <c r="U494" s="61">
        <f>T494*係数!$H$30</f>
        <v>0</v>
      </c>
      <c r="V494" s="61">
        <f>T494*係数!$C$30*0.0000258</f>
        <v>0</v>
      </c>
      <c r="W494" s="8">
        <f t="shared" si="53"/>
        <v>0</v>
      </c>
      <c r="X494" s="272">
        <f t="shared" si="54"/>
        <v>0</v>
      </c>
      <c r="Y494" s="489">
        <f t="shared" si="55"/>
        <v>0</v>
      </c>
    </row>
    <row r="495" spans="2:25">
      <c r="B495" s="100" t="s">
        <v>839</v>
      </c>
      <c r="C495" s="12"/>
      <c r="D495" s="3"/>
      <c r="E495" s="77"/>
      <c r="F495" s="62"/>
      <c r="G495" s="62"/>
      <c r="H495" s="84" t="s">
        <v>382</v>
      </c>
      <c r="I495" s="3"/>
      <c r="J495" s="60">
        <f t="shared" si="56"/>
        <v>0</v>
      </c>
      <c r="K495" s="60">
        <f t="shared" si="50"/>
        <v>0</v>
      </c>
      <c r="L495" s="61">
        <f>K495*係数!$H$30</f>
        <v>0</v>
      </c>
      <c r="M495" s="61">
        <f>K495*係数!$C$30*0.0000258</f>
        <v>0</v>
      </c>
      <c r="N495" s="12"/>
      <c r="O495" s="3"/>
      <c r="P495" s="3"/>
      <c r="Q495" s="84" t="s">
        <v>382</v>
      </c>
      <c r="R495" s="3"/>
      <c r="S495" s="488">
        <f t="shared" si="51"/>
        <v>0</v>
      </c>
      <c r="T495" s="8">
        <f t="shared" si="52"/>
        <v>0</v>
      </c>
      <c r="U495" s="61">
        <f>T495*係数!$H$30</f>
        <v>0</v>
      </c>
      <c r="V495" s="61">
        <f>T495*係数!$C$30*0.0000258</f>
        <v>0</v>
      </c>
      <c r="W495" s="8">
        <f t="shared" si="53"/>
        <v>0</v>
      </c>
      <c r="X495" s="272">
        <f t="shared" si="54"/>
        <v>0</v>
      </c>
      <c r="Y495" s="489">
        <f t="shared" si="55"/>
        <v>0</v>
      </c>
    </row>
    <row r="496" spans="2:25">
      <c r="B496" s="100" t="s">
        <v>840</v>
      </c>
      <c r="C496" s="12"/>
      <c r="D496" s="3"/>
      <c r="E496" s="77"/>
      <c r="F496" s="62"/>
      <c r="G496" s="62"/>
      <c r="H496" s="84" t="s">
        <v>382</v>
      </c>
      <c r="I496" s="3"/>
      <c r="J496" s="60">
        <f t="shared" si="56"/>
        <v>0</v>
      </c>
      <c r="K496" s="60">
        <f t="shared" si="50"/>
        <v>0</v>
      </c>
      <c r="L496" s="61">
        <f>K496*係数!$H$30</f>
        <v>0</v>
      </c>
      <c r="M496" s="61">
        <f>K496*係数!$C$30*0.0000258</f>
        <v>0</v>
      </c>
      <c r="N496" s="12"/>
      <c r="O496" s="3"/>
      <c r="P496" s="3"/>
      <c r="Q496" s="84" t="s">
        <v>382</v>
      </c>
      <c r="R496" s="3"/>
      <c r="S496" s="488">
        <f t="shared" si="51"/>
        <v>0</v>
      </c>
      <c r="T496" s="8">
        <f t="shared" si="52"/>
        <v>0</v>
      </c>
      <c r="U496" s="61">
        <f>T496*係数!$H$30</f>
        <v>0</v>
      </c>
      <c r="V496" s="61">
        <f>T496*係数!$C$30*0.0000258</f>
        <v>0</v>
      </c>
      <c r="W496" s="8">
        <f t="shared" si="53"/>
        <v>0</v>
      </c>
      <c r="X496" s="272">
        <f t="shared" si="54"/>
        <v>0</v>
      </c>
      <c r="Y496" s="489">
        <f t="shared" si="55"/>
        <v>0</v>
      </c>
    </row>
    <row r="497" spans="2:25">
      <c r="B497" s="100" t="s">
        <v>841</v>
      </c>
      <c r="C497" s="12"/>
      <c r="D497" s="3"/>
      <c r="E497" s="77"/>
      <c r="F497" s="62"/>
      <c r="G497" s="62"/>
      <c r="H497" s="84" t="s">
        <v>382</v>
      </c>
      <c r="I497" s="3"/>
      <c r="J497" s="60">
        <f t="shared" si="56"/>
        <v>0</v>
      </c>
      <c r="K497" s="60">
        <f t="shared" si="50"/>
        <v>0</v>
      </c>
      <c r="L497" s="61">
        <f>K497*係数!$H$30</f>
        <v>0</v>
      </c>
      <c r="M497" s="61">
        <f>K497*係数!$C$30*0.0000258</f>
        <v>0</v>
      </c>
      <c r="N497" s="12"/>
      <c r="O497" s="3"/>
      <c r="P497" s="3"/>
      <c r="Q497" s="84" t="s">
        <v>382</v>
      </c>
      <c r="R497" s="3"/>
      <c r="S497" s="488">
        <f t="shared" si="51"/>
        <v>0</v>
      </c>
      <c r="T497" s="8">
        <f t="shared" si="52"/>
        <v>0</v>
      </c>
      <c r="U497" s="61">
        <f>T497*係数!$H$30</f>
        <v>0</v>
      </c>
      <c r="V497" s="61">
        <f>T497*係数!$C$30*0.0000258</f>
        <v>0</v>
      </c>
      <c r="W497" s="8">
        <f t="shared" si="53"/>
        <v>0</v>
      </c>
      <c r="X497" s="272">
        <f t="shared" si="54"/>
        <v>0</v>
      </c>
      <c r="Y497" s="489">
        <f t="shared" si="55"/>
        <v>0</v>
      </c>
    </row>
    <row r="498" spans="2:25">
      <c r="B498" s="100" t="s">
        <v>842</v>
      </c>
      <c r="C498" s="12"/>
      <c r="D498" s="3"/>
      <c r="E498" s="77"/>
      <c r="F498" s="62"/>
      <c r="G498" s="62"/>
      <c r="H498" s="84" t="s">
        <v>382</v>
      </c>
      <c r="I498" s="3"/>
      <c r="J498" s="60">
        <f t="shared" si="56"/>
        <v>0</v>
      </c>
      <c r="K498" s="60">
        <f t="shared" si="50"/>
        <v>0</v>
      </c>
      <c r="L498" s="61">
        <f>K498*係数!$H$30</f>
        <v>0</v>
      </c>
      <c r="M498" s="61">
        <f>K498*係数!$C$30*0.0000258</f>
        <v>0</v>
      </c>
      <c r="N498" s="12"/>
      <c r="O498" s="3"/>
      <c r="P498" s="3"/>
      <c r="Q498" s="84" t="s">
        <v>382</v>
      </c>
      <c r="R498" s="3"/>
      <c r="S498" s="488">
        <f t="shared" si="51"/>
        <v>0</v>
      </c>
      <c r="T498" s="8">
        <f t="shared" si="52"/>
        <v>0</v>
      </c>
      <c r="U498" s="61">
        <f>T498*係数!$H$30</f>
        <v>0</v>
      </c>
      <c r="V498" s="61">
        <f>T498*係数!$C$30*0.0000258</f>
        <v>0</v>
      </c>
      <c r="W498" s="8">
        <f t="shared" si="53"/>
        <v>0</v>
      </c>
      <c r="X498" s="272">
        <f t="shared" si="54"/>
        <v>0</v>
      </c>
      <c r="Y498" s="489">
        <f t="shared" si="55"/>
        <v>0</v>
      </c>
    </row>
    <row r="499" spans="2:25">
      <c r="B499" s="100" t="s">
        <v>843</v>
      </c>
      <c r="C499" s="12"/>
      <c r="D499" s="3"/>
      <c r="E499" s="77"/>
      <c r="F499" s="62"/>
      <c r="G499" s="62"/>
      <c r="H499" s="84" t="s">
        <v>382</v>
      </c>
      <c r="I499" s="3"/>
      <c r="J499" s="60">
        <f t="shared" si="56"/>
        <v>0</v>
      </c>
      <c r="K499" s="60">
        <f t="shared" si="50"/>
        <v>0</v>
      </c>
      <c r="L499" s="61">
        <f>K499*係数!$H$30</f>
        <v>0</v>
      </c>
      <c r="M499" s="61">
        <f>K499*係数!$C$30*0.0000258</f>
        <v>0</v>
      </c>
      <c r="N499" s="12"/>
      <c r="O499" s="3"/>
      <c r="P499" s="3"/>
      <c r="Q499" s="84" t="s">
        <v>382</v>
      </c>
      <c r="R499" s="3"/>
      <c r="S499" s="488">
        <f t="shared" si="51"/>
        <v>0</v>
      </c>
      <c r="T499" s="8">
        <f t="shared" si="52"/>
        <v>0</v>
      </c>
      <c r="U499" s="61">
        <f>T499*係数!$H$30</f>
        <v>0</v>
      </c>
      <c r="V499" s="61">
        <f>T499*係数!$C$30*0.0000258</f>
        <v>0</v>
      </c>
      <c r="W499" s="8">
        <f t="shared" si="53"/>
        <v>0</v>
      </c>
      <c r="X499" s="272">
        <f t="shared" si="54"/>
        <v>0</v>
      </c>
      <c r="Y499" s="489">
        <f t="shared" si="55"/>
        <v>0</v>
      </c>
    </row>
    <row r="500" spans="2:25">
      <c r="B500" s="100" t="s">
        <v>844</v>
      </c>
      <c r="C500" s="12"/>
      <c r="D500" s="3"/>
      <c r="E500" s="77"/>
      <c r="F500" s="62"/>
      <c r="G500" s="62"/>
      <c r="H500" s="84" t="s">
        <v>382</v>
      </c>
      <c r="I500" s="3"/>
      <c r="J500" s="60">
        <f t="shared" si="56"/>
        <v>0</v>
      </c>
      <c r="K500" s="60">
        <f t="shared" si="50"/>
        <v>0</v>
      </c>
      <c r="L500" s="61">
        <f>K500*係数!$H$30</f>
        <v>0</v>
      </c>
      <c r="M500" s="61">
        <f>K500*係数!$C$30*0.0000258</f>
        <v>0</v>
      </c>
      <c r="N500" s="12"/>
      <c r="O500" s="3"/>
      <c r="P500" s="3"/>
      <c r="Q500" s="84" t="s">
        <v>382</v>
      </c>
      <c r="R500" s="3"/>
      <c r="S500" s="488">
        <f t="shared" si="51"/>
        <v>0</v>
      </c>
      <c r="T500" s="8">
        <f t="shared" si="52"/>
        <v>0</v>
      </c>
      <c r="U500" s="61">
        <f>T500*係数!$H$30</f>
        <v>0</v>
      </c>
      <c r="V500" s="61">
        <f>T500*係数!$C$30*0.0000258</f>
        <v>0</v>
      </c>
      <c r="W500" s="8">
        <f t="shared" si="53"/>
        <v>0</v>
      </c>
      <c r="X500" s="272">
        <f t="shared" si="54"/>
        <v>0</v>
      </c>
      <c r="Y500" s="489">
        <f t="shared" si="55"/>
        <v>0</v>
      </c>
    </row>
    <row r="501" spans="2:25">
      <c r="B501" s="100" t="s">
        <v>845</v>
      </c>
      <c r="C501" s="12"/>
      <c r="D501" s="3"/>
      <c r="E501" s="77"/>
      <c r="F501" s="62"/>
      <c r="G501" s="62"/>
      <c r="H501" s="84" t="s">
        <v>382</v>
      </c>
      <c r="I501" s="3"/>
      <c r="J501" s="60">
        <f t="shared" si="56"/>
        <v>0</v>
      </c>
      <c r="K501" s="60">
        <f t="shared" si="50"/>
        <v>0</v>
      </c>
      <c r="L501" s="61">
        <f>K501*係数!$H$30</f>
        <v>0</v>
      </c>
      <c r="M501" s="61">
        <f>K501*係数!$C$30*0.0000258</f>
        <v>0</v>
      </c>
      <c r="N501" s="12"/>
      <c r="O501" s="3"/>
      <c r="P501" s="3"/>
      <c r="Q501" s="84" t="s">
        <v>382</v>
      </c>
      <c r="R501" s="3"/>
      <c r="S501" s="488">
        <f t="shared" si="51"/>
        <v>0</v>
      </c>
      <c r="T501" s="8">
        <f t="shared" si="52"/>
        <v>0</v>
      </c>
      <c r="U501" s="61">
        <f>T501*係数!$H$30</f>
        <v>0</v>
      </c>
      <c r="V501" s="61">
        <f>T501*係数!$C$30*0.0000258</f>
        <v>0</v>
      </c>
      <c r="W501" s="8">
        <f t="shared" si="53"/>
        <v>0</v>
      </c>
      <c r="X501" s="272">
        <f t="shared" si="54"/>
        <v>0</v>
      </c>
      <c r="Y501" s="489">
        <f t="shared" si="55"/>
        <v>0</v>
      </c>
    </row>
    <row r="502" spans="2:25">
      <c r="B502" s="100" t="s">
        <v>846</v>
      </c>
      <c r="C502" s="12"/>
      <c r="D502" s="3"/>
      <c r="E502" s="77"/>
      <c r="F502" s="62"/>
      <c r="G502" s="62"/>
      <c r="H502" s="84" t="s">
        <v>382</v>
      </c>
      <c r="I502" s="3"/>
      <c r="J502" s="60">
        <f t="shared" si="56"/>
        <v>0</v>
      </c>
      <c r="K502" s="60">
        <f t="shared" si="50"/>
        <v>0</v>
      </c>
      <c r="L502" s="61">
        <f>K502*係数!$H$30</f>
        <v>0</v>
      </c>
      <c r="M502" s="61">
        <f>K502*係数!$C$30*0.0000258</f>
        <v>0</v>
      </c>
      <c r="N502" s="12"/>
      <c r="O502" s="3"/>
      <c r="P502" s="3"/>
      <c r="Q502" s="84" t="s">
        <v>382</v>
      </c>
      <c r="R502" s="3"/>
      <c r="S502" s="488">
        <f t="shared" si="51"/>
        <v>0</v>
      </c>
      <c r="T502" s="8">
        <f t="shared" si="52"/>
        <v>0</v>
      </c>
      <c r="U502" s="61">
        <f>T502*係数!$H$30</f>
        <v>0</v>
      </c>
      <c r="V502" s="61">
        <f>T502*係数!$C$30*0.0000258</f>
        <v>0</v>
      </c>
      <c r="W502" s="8">
        <f t="shared" si="53"/>
        <v>0</v>
      </c>
      <c r="X502" s="272">
        <f t="shared" si="54"/>
        <v>0</v>
      </c>
      <c r="Y502" s="489">
        <f t="shared" si="55"/>
        <v>0</v>
      </c>
    </row>
    <row r="503" spans="2:25">
      <c r="B503" s="100" t="s">
        <v>847</v>
      </c>
      <c r="C503" s="12"/>
      <c r="D503" s="3"/>
      <c r="E503" s="77"/>
      <c r="F503" s="62"/>
      <c r="G503" s="62"/>
      <c r="H503" s="84" t="s">
        <v>382</v>
      </c>
      <c r="I503" s="3"/>
      <c r="J503" s="60">
        <f t="shared" si="56"/>
        <v>0</v>
      </c>
      <c r="K503" s="60">
        <f t="shared" si="50"/>
        <v>0</v>
      </c>
      <c r="L503" s="61">
        <f>K503*係数!$H$30</f>
        <v>0</v>
      </c>
      <c r="M503" s="61">
        <f>K503*係数!$C$30*0.0000258</f>
        <v>0</v>
      </c>
      <c r="N503" s="12"/>
      <c r="O503" s="3"/>
      <c r="P503" s="3"/>
      <c r="Q503" s="84" t="s">
        <v>382</v>
      </c>
      <c r="R503" s="3"/>
      <c r="S503" s="488">
        <f t="shared" si="51"/>
        <v>0</v>
      </c>
      <c r="T503" s="8">
        <f t="shared" si="52"/>
        <v>0</v>
      </c>
      <c r="U503" s="61">
        <f>T503*係数!$H$30</f>
        <v>0</v>
      </c>
      <c r="V503" s="61">
        <f>T503*係数!$C$30*0.0000258</f>
        <v>0</v>
      </c>
      <c r="W503" s="8">
        <f t="shared" si="53"/>
        <v>0</v>
      </c>
      <c r="X503" s="272">
        <f t="shared" si="54"/>
        <v>0</v>
      </c>
      <c r="Y503" s="489">
        <f t="shared" si="55"/>
        <v>0</v>
      </c>
    </row>
    <row r="504" spans="2:25">
      <c r="B504" s="100" t="s">
        <v>848</v>
      </c>
      <c r="C504" s="12"/>
      <c r="D504" s="3"/>
      <c r="E504" s="77"/>
      <c r="F504" s="62"/>
      <c r="G504" s="62"/>
      <c r="H504" s="84" t="s">
        <v>382</v>
      </c>
      <c r="I504" s="3"/>
      <c r="J504" s="60">
        <f t="shared" si="56"/>
        <v>0</v>
      </c>
      <c r="K504" s="60">
        <f t="shared" si="50"/>
        <v>0</v>
      </c>
      <c r="L504" s="61">
        <f>K504*係数!$H$30</f>
        <v>0</v>
      </c>
      <c r="M504" s="61">
        <f>K504*係数!$C$30*0.0000258</f>
        <v>0</v>
      </c>
      <c r="N504" s="12"/>
      <c r="O504" s="3"/>
      <c r="P504" s="3"/>
      <c r="Q504" s="84" t="s">
        <v>382</v>
      </c>
      <c r="R504" s="3"/>
      <c r="S504" s="488">
        <f t="shared" si="51"/>
        <v>0</v>
      </c>
      <c r="T504" s="8">
        <f t="shared" si="52"/>
        <v>0</v>
      </c>
      <c r="U504" s="61">
        <f>T504*係数!$H$30</f>
        <v>0</v>
      </c>
      <c r="V504" s="61">
        <f>T504*係数!$C$30*0.0000258</f>
        <v>0</v>
      </c>
      <c r="W504" s="8">
        <f t="shared" si="53"/>
        <v>0</v>
      </c>
      <c r="X504" s="272">
        <f t="shared" si="54"/>
        <v>0</v>
      </c>
      <c r="Y504" s="489">
        <f t="shared" si="55"/>
        <v>0</v>
      </c>
    </row>
    <row r="505" spans="2:25">
      <c r="B505" s="100" t="s">
        <v>849</v>
      </c>
      <c r="C505" s="12"/>
      <c r="D505" s="3"/>
      <c r="E505" s="77"/>
      <c r="F505" s="62"/>
      <c r="G505" s="62"/>
      <c r="H505" s="84" t="s">
        <v>382</v>
      </c>
      <c r="I505" s="3"/>
      <c r="J505" s="60">
        <f t="shared" si="56"/>
        <v>0</v>
      </c>
      <c r="K505" s="60">
        <f t="shared" si="50"/>
        <v>0</v>
      </c>
      <c r="L505" s="61">
        <f>K505*係数!$H$30</f>
        <v>0</v>
      </c>
      <c r="M505" s="61">
        <f>K505*係数!$C$30*0.0000258</f>
        <v>0</v>
      </c>
      <c r="N505" s="12"/>
      <c r="O505" s="3"/>
      <c r="P505" s="3"/>
      <c r="Q505" s="84" t="s">
        <v>382</v>
      </c>
      <c r="R505" s="3"/>
      <c r="S505" s="488">
        <f t="shared" si="51"/>
        <v>0</v>
      </c>
      <c r="T505" s="8">
        <f t="shared" si="52"/>
        <v>0</v>
      </c>
      <c r="U505" s="61">
        <f>T505*係数!$H$30</f>
        <v>0</v>
      </c>
      <c r="V505" s="61">
        <f>T505*係数!$C$30*0.0000258</f>
        <v>0</v>
      </c>
      <c r="W505" s="8">
        <f t="shared" si="53"/>
        <v>0</v>
      </c>
      <c r="X505" s="272">
        <f t="shared" si="54"/>
        <v>0</v>
      </c>
      <c r="Y505" s="489">
        <f t="shared" si="55"/>
        <v>0</v>
      </c>
    </row>
    <row r="506" spans="2:25">
      <c r="B506" s="100" t="s">
        <v>850</v>
      </c>
      <c r="C506" s="12"/>
      <c r="D506" s="3"/>
      <c r="E506" s="77"/>
      <c r="F506" s="62"/>
      <c r="G506" s="62"/>
      <c r="H506" s="84" t="s">
        <v>382</v>
      </c>
      <c r="I506" s="3"/>
      <c r="J506" s="60">
        <f t="shared" si="56"/>
        <v>0</v>
      </c>
      <c r="K506" s="60">
        <f t="shared" si="50"/>
        <v>0</v>
      </c>
      <c r="L506" s="61">
        <f>K506*係数!$H$30</f>
        <v>0</v>
      </c>
      <c r="M506" s="61">
        <f>K506*係数!$C$30*0.0000258</f>
        <v>0</v>
      </c>
      <c r="N506" s="12"/>
      <c r="O506" s="3"/>
      <c r="P506" s="3"/>
      <c r="Q506" s="84" t="s">
        <v>382</v>
      </c>
      <c r="R506" s="3"/>
      <c r="S506" s="488">
        <f t="shared" si="51"/>
        <v>0</v>
      </c>
      <c r="T506" s="8">
        <f t="shared" si="52"/>
        <v>0</v>
      </c>
      <c r="U506" s="61">
        <f>T506*係数!$H$30</f>
        <v>0</v>
      </c>
      <c r="V506" s="61">
        <f>T506*係数!$C$30*0.0000258</f>
        <v>0</v>
      </c>
      <c r="W506" s="8">
        <f t="shared" si="53"/>
        <v>0</v>
      </c>
      <c r="X506" s="272">
        <f t="shared" si="54"/>
        <v>0</v>
      </c>
      <c r="Y506" s="489">
        <f t="shared" si="55"/>
        <v>0</v>
      </c>
    </row>
    <row r="507" spans="2:25">
      <c r="B507" s="100" t="s">
        <v>851</v>
      </c>
      <c r="C507" s="12"/>
      <c r="D507" s="3"/>
      <c r="E507" s="77"/>
      <c r="F507" s="62"/>
      <c r="G507" s="62"/>
      <c r="H507" s="84" t="s">
        <v>382</v>
      </c>
      <c r="I507" s="3"/>
      <c r="J507" s="60">
        <f t="shared" si="56"/>
        <v>0</v>
      </c>
      <c r="K507" s="60">
        <f t="shared" si="50"/>
        <v>0</v>
      </c>
      <c r="L507" s="61">
        <f>K507*係数!$H$30</f>
        <v>0</v>
      </c>
      <c r="M507" s="61">
        <f>K507*係数!$C$30*0.0000258</f>
        <v>0</v>
      </c>
      <c r="N507" s="12"/>
      <c r="O507" s="3"/>
      <c r="P507" s="3"/>
      <c r="Q507" s="84" t="s">
        <v>382</v>
      </c>
      <c r="R507" s="3"/>
      <c r="S507" s="488">
        <f t="shared" si="51"/>
        <v>0</v>
      </c>
      <c r="T507" s="8">
        <f t="shared" si="52"/>
        <v>0</v>
      </c>
      <c r="U507" s="61">
        <f>T507*係数!$H$30</f>
        <v>0</v>
      </c>
      <c r="V507" s="61">
        <f>T507*係数!$C$30*0.0000258</f>
        <v>0</v>
      </c>
      <c r="W507" s="8">
        <f t="shared" si="53"/>
        <v>0</v>
      </c>
      <c r="X507" s="272">
        <f t="shared" si="54"/>
        <v>0</v>
      </c>
      <c r="Y507" s="489">
        <f t="shared" si="55"/>
        <v>0</v>
      </c>
    </row>
    <row r="508" spans="2:25">
      <c r="B508" s="100" t="s">
        <v>852</v>
      </c>
      <c r="C508" s="12"/>
      <c r="D508" s="3"/>
      <c r="E508" s="77"/>
      <c r="F508" s="62"/>
      <c r="G508" s="62"/>
      <c r="H508" s="84" t="s">
        <v>382</v>
      </c>
      <c r="I508" s="3"/>
      <c r="J508" s="60">
        <f t="shared" si="56"/>
        <v>0</v>
      </c>
      <c r="K508" s="60">
        <f t="shared" si="50"/>
        <v>0</v>
      </c>
      <c r="L508" s="61">
        <f>K508*係数!$H$30</f>
        <v>0</v>
      </c>
      <c r="M508" s="61">
        <f>K508*係数!$C$30*0.0000258</f>
        <v>0</v>
      </c>
      <c r="N508" s="12"/>
      <c r="O508" s="3"/>
      <c r="P508" s="3"/>
      <c r="Q508" s="84" t="s">
        <v>382</v>
      </c>
      <c r="R508" s="3"/>
      <c r="S508" s="488">
        <f t="shared" si="51"/>
        <v>0</v>
      </c>
      <c r="T508" s="8">
        <f t="shared" si="52"/>
        <v>0</v>
      </c>
      <c r="U508" s="61">
        <f>T508*係数!$H$30</f>
        <v>0</v>
      </c>
      <c r="V508" s="61">
        <f>T508*係数!$C$30*0.0000258</f>
        <v>0</v>
      </c>
      <c r="W508" s="8">
        <f t="shared" si="53"/>
        <v>0</v>
      </c>
      <c r="X508" s="272">
        <f t="shared" si="54"/>
        <v>0</v>
      </c>
      <c r="Y508" s="489">
        <f t="shared" si="55"/>
        <v>0</v>
      </c>
    </row>
    <row r="509" spans="2:25">
      <c r="B509" s="100" t="s">
        <v>853</v>
      </c>
      <c r="C509" s="12"/>
      <c r="D509" s="3"/>
      <c r="E509" s="77"/>
      <c r="F509" s="62"/>
      <c r="G509" s="62"/>
      <c r="H509" s="84" t="s">
        <v>382</v>
      </c>
      <c r="I509" s="3"/>
      <c r="J509" s="60">
        <f t="shared" si="56"/>
        <v>0</v>
      </c>
      <c r="K509" s="60">
        <f t="shared" si="50"/>
        <v>0</v>
      </c>
      <c r="L509" s="61">
        <f>K509*係数!$H$30</f>
        <v>0</v>
      </c>
      <c r="M509" s="61">
        <f>K509*係数!$C$30*0.0000258</f>
        <v>0</v>
      </c>
      <c r="N509" s="12"/>
      <c r="O509" s="3"/>
      <c r="P509" s="3"/>
      <c r="Q509" s="84" t="s">
        <v>382</v>
      </c>
      <c r="R509" s="3"/>
      <c r="S509" s="488">
        <f t="shared" si="51"/>
        <v>0</v>
      </c>
      <c r="T509" s="8">
        <f t="shared" si="52"/>
        <v>0</v>
      </c>
      <c r="U509" s="61">
        <f>T509*係数!$H$30</f>
        <v>0</v>
      </c>
      <c r="V509" s="61">
        <f>T509*係数!$C$30*0.0000258</f>
        <v>0</v>
      </c>
      <c r="W509" s="8">
        <f t="shared" si="53"/>
        <v>0</v>
      </c>
      <c r="X509" s="272">
        <f t="shared" si="54"/>
        <v>0</v>
      </c>
      <c r="Y509" s="489">
        <f t="shared" si="55"/>
        <v>0</v>
      </c>
    </row>
    <row r="510" spans="2:25">
      <c r="B510" s="100" t="s">
        <v>854</v>
      </c>
      <c r="C510" s="12"/>
      <c r="D510" s="3"/>
      <c r="E510" s="77"/>
      <c r="F510" s="62"/>
      <c r="G510" s="62"/>
      <c r="H510" s="84" t="s">
        <v>382</v>
      </c>
      <c r="I510" s="3"/>
      <c r="J510" s="60">
        <f t="shared" si="56"/>
        <v>0</v>
      </c>
      <c r="K510" s="60">
        <f t="shared" si="50"/>
        <v>0</v>
      </c>
      <c r="L510" s="61">
        <f>K510*係数!$H$30</f>
        <v>0</v>
      </c>
      <c r="M510" s="61">
        <f>K510*係数!$C$30*0.0000258</f>
        <v>0</v>
      </c>
      <c r="N510" s="12"/>
      <c r="O510" s="3"/>
      <c r="P510" s="3"/>
      <c r="Q510" s="84" t="s">
        <v>382</v>
      </c>
      <c r="R510" s="3"/>
      <c r="S510" s="488">
        <f t="shared" si="51"/>
        <v>0</v>
      </c>
      <c r="T510" s="8">
        <f t="shared" si="52"/>
        <v>0</v>
      </c>
      <c r="U510" s="61">
        <f>T510*係数!$H$30</f>
        <v>0</v>
      </c>
      <c r="V510" s="61">
        <f>T510*係数!$C$30*0.0000258</f>
        <v>0</v>
      </c>
      <c r="W510" s="8">
        <f t="shared" si="53"/>
        <v>0</v>
      </c>
      <c r="X510" s="272">
        <f t="shared" si="54"/>
        <v>0</v>
      </c>
      <c r="Y510" s="489">
        <f t="shared" si="55"/>
        <v>0</v>
      </c>
    </row>
    <row r="511" spans="2:25">
      <c r="B511" s="100" t="s">
        <v>855</v>
      </c>
      <c r="C511" s="12"/>
      <c r="D511" s="3"/>
      <c r="E511" s="77"/>
      <c r="F511" s="62"/>
      <c r="G511" s="62"/>
      <c r="H511" s="84" t="s">
        <v>382</v>
      </c>
      <c r="I511" s="3"/>
      <c r="J511" s="60">
        <f t="shared" si="56"/>
        <v>0</v>
      </c>
      <c r="K511" s="60">
        <f t="shared" si="50"/>
        <v>0</v>
      </c>
      <c r="L511" s="61">
        <f>K511*係数!$H$30</f>
        <v>0</v>
      </c>
      <c r="M511" s="61">
        <f>K511*係数!$C$30*0.0000258</f>
        <v>0</v>
      </c>
      <c r="N511" s="12"/>
      <c r="O511" s="3"/>
      <c r="P511" s="3"/>
      <c r="Q511" s="84" t="s">
        <v>382</v>
      </c>
      <c r="R511" s="3"/>
      <c r="S511" s="488">
        <f t="shared" si="51"/>
        <v>0</v>
      </c>
      <c r="T511" s="8">
        <f t="shared" si="52"/>
        <v>0</v>
      </c>
      <c r="U511" s="61">
        <f>T511*係数!$H$30</f>
        <v>0</v>
      </c>
      <c r="V511" s="61">
        <f>T511*係数!$C$30*0.0000258</f>
        <v>0</v>
      </c>
      <c r="W511" s="8">
        <f t="shared" si="53"/>
        <v>0</v>
      </c>
      <c r="X511" s="272">
        <f t="shared" si="54"/>
        <v>0</v>
      </c>
      <c r="Y511" s="489">
        <f t="shared" si="55"/>
        <v>0</v>
      </c>
    </row>
    <row r="512" spans="2:25">
      <c r="B512" s="100" t="s">
        <v>856</v>
      </c>
      <c r="C512" s="12"/>
      <c r="D512" s="3"/>
      <c r="E512" s="77"/>
      <c r="F512" s="62"/>
      <c r="G512" s="62"/>
      <c r="H512" s="84" t="s">
        <v>382</v>
      </c>
      <c r="I512" s="3"/>
      <c r="J512" s="60">
        <f t="shared" si="56"/>
        <v>0</v>
      </c>
      <c r="K512" s="60">
        <f t="shared" si="50"/>
        <v>0</v>
      </c>
      <c r="L512" s="61">
        <f>K512*係数!$H$30</f>
        <v>0</v>
      </c>
      <c r="M512" s="61">
        <f>K512*係数!$C$30*0.0000258</f>
        <v>0</v>
      </c>
      <c r="N512" s="12"/>
      <c r="O512" s="3"/>
      <c r="P512" s="3"/>
      <c r="Q512" s="84" t="s">
        <v>382</v>
      </c>
      <c r="R512" s="3"/>
      <c r="S512" s="488">
        <f t="shared" si="51"/>
        <v>0</v>
      </c>
      <c r="T512" s="8">
        <f t="shared" si="52"/>
        <v>0</v>
      </c>
      <c r="U512" s="61">
        <f>T512*係数!$H$30</f>
        <v>0</v>
      </c>
      <c r="V512" s="61">
        <f>T512*係数!$C$30*0.0000258</f>
        <v>0</v>
      </c>
      <c r="W512" s="8">
        <f t="shared" si="53"/>
        <v>0</v>
      </c>
      <c r="X512" s="272">
        <f t="shared" si="54"/>
        <v>0</v>
      </c>
      <c r="Y512" s="489">
        <f t="shared" si="55"/>
        <v>0</v>
      </c>
    </row>
    <row r="513" spans="1:25">
      <c r="B513" s="100" t="s">
        <v>857</v>
      </c>
      <c r="C513" s="12"/>
      <c r="D513" s="3"/>
      <c r="E513" s="77"/>
      <c r="F513" s="62"/>
      <c r="G513" s="62"/>
      <c r="H513" s="84" t="s">
        <v>382</v>
      </c>
      <c r="I513" s="3"/>
      <c r="J513" s="60">
        <f t="shared" si="56"/>
        <v>0</v>
      </c>
      <c r="K513" s="60">
        <f t="shared" si="50"/>
        <v>0</v>
      </c>
      <c r="L513" s="61">
        <f>K513*係数!$H$30</f>
        <v>0</v>
      </c>
      <c r="M513" s="61">
        <f>K513*係数!$C$30*0.0000258</f>
        <v>0</v>
      </c>
      <c r="N513" s="12"/>
      <c r="O513" s="3"/>
      <c r="P513" s="3"/>
      <c r="Q513" s="84" t="s">
        <v>382</v>
      </c>
      <c r="R513" s="3"/>
      <c r="S513" s="488">
        <f t="shared" si="51"/>
        <v>0</v>
      </c>
      <c r="T513" s="8">
        <f t="shared" si="52"/>
        <v>0</v>
      </c>
      <c r="U513" s="61">
        <f>T513*係数!$H$30</f>
        <v>0</v>
      </c>
      <c r="V513" s="61">
        <f>T513*係数!$C$30*0.0000258</f>
        <v>0</v>
      </c>
      <c r="W513" s="8">
        <f t="shared" si="53"/>
        <v>0</v>
      </c>
      <c r="X513" s="272">
        <f t="shared" si="54"/>
        <v>0</v>
      </c>
      <c r="Y513" s="489">
        <f t="shared" si="55"/>
        <v>0</v>
      </c>
    </row>
    <row r="514" spans="1:25">
      <c r="B514" s="100" t="s">
        <v>858</v>
      </c>
      <c r="C514" s="12"/>
      <c r="D514" s="3"/>
      <c r="E514" s="77"/>
      <c r="F514" s="62"/>
      <c r="G514" s="62"/>
      <c r="H514" s="84" t="s">
        <v>382</v>
      </c>
      <c r="I514" s="3"/>
      <c r="J514" s="60">
        <f t="shared" si="56"/>
        <v>0</v>
      </c>
      <c r="K514" s="60">
        <f t="shared" si="50"/>
        <v>0</v>
      </c>
      <c r="L514" s="61">
        <f>K514*係数!$H$30</f>
        <v>0</v>
      </c>
      <c r="M514" s="61">
        <f>K514*係数!$C$30*0.0000258</f>
        <v>0</v>
      </c>
      <c r="N514" s="12"/>
      <c r="O514" s="3"/>
      <c r="P514" s="3"/>
      <c r="Q514" s="84" t="s">
        <v>382</v>
      </c>
      <c r="R514" s="3"/>
      <c r="S514" s="488">
        <f t="shared" si="51"/>
        <v>0</v>
      </c>
      <c r="T514" s="8">
        <f t="shared" si="52"/>
        <v>0</v>
      </c>
      <c r="U514" s="61">
        <f>T514*係数!$H$30</f>
        <v>0</v>
      </c>
      <c r="V514" s="61">
        <f>T514*係数!$C$30*0.0000258</f>
        <v>0</v>
      </c>
      <c r="W514" s="8">
        <f t="shared" si="53"/>
        <v>0</v>
      </c>
      <c r="X514" s="272">
        <f t="shared" si="54"/>
        <v>0</v>
      </c>
      <c r="Y514" s="489">
        <f t="shared" si="55"/>
        <v>0</v>
      </c>
    </row>
    <row r="515" spans="1:25">
      <c r="B515" s="100" t="s">
        <v>859</v>
      </c>
      <c r="C515" s="12"/>
      <c r="D515" s="3"/>
      <c r="E515" s="77"/>
      <c r="F515" s="62"/>
      <c r="G515" s="62"/>
      <c r="H515" s="84" t="s">
        <v>382</v>
      </c>
      <c r="I515" s="3"/>
      <c r="J515" s="60">
        <f t="shared" si="56"/>
        <v>0</v>
      </c>
      <c r="K515" s="60">
        <f t="shared" si="50"/>
        <v>0</v>
      </c>
      <c r="L515" s="61">
        <f>K515*係数!$H$30</f>
        <v>0</v>
      </c>
      <c r="M515" s="61">
        <f>K515*係数!$C$30*0.0000258</f>
        <v>0</v>
      </c>
      <c r="N515" s="12"/>
      <c r="O515" s="3"/>
      <c r="P515" s="3"/>
      <c r="Q515" s="84" t="s">
        <v>382</v>
      </c>
      <c r="R515" s="3"/>
      <c r="S515" s="488">
        <f t="shared" si="51"/>
        <v>0</v>
      </c>
      <c r="T515" s="8">
        <f t="shared" si="52"/>
        <v>0</v>
      </c>
      <c r="U515" s="61">
        <f>T515*係数!$H$30</f>
        <v>0</v>
      </c>
      <c r="V515" s="61">
        <f>T515*係数!$C$30*0.0000258</f>
        <v>0</v>
      </c>
      <c r="W515" s="8">
        <f t="shared" si="53"/>
        <v>0</v>
      </c>
      <c r="X515" s="272">
        <f t="shared" si="54"/>
        <v>0</v>
      </c>
      <c r="Y515" s="489">
        <f t="shared" si="55"/>
        <v>0</v>
      </c>
    </row>
    <row r="516" spans="1:25">
      <c r="B516" s="100" t="s">
        <v>860</v>
      </c>
      <c r="C516" s="12"/>
      <c r="D516" s="3"/>
      <c r="E516" s="77"/>
      <c r="F516" s="62"/>
      <c r="G516" s="62"/>
      <c r="H516" s="84" t="s">
        <v>382</v>
      </c>
      <c r="I516" s="3"/>
      <c r="J516" s="60">
        <f t="shared" si="56"/>
        <v>0</v>
      </c>
      <c r="K516" s="60">
        <f t="shared" si="50"/>
        <v>0</v>
      </c>
      <c r="L516" s="61">
        <f>K516*係数!$H$30</f>
        <v>0</v>
      </c>
      <c r="M516" s="61">
        <f>K516*係数!$C$30*0.0000258</f>
        <v>0</v>
      </c>
      <c r="N516" s="12"/>
      <c r="O516" s="3"/>
      <c r="P516" s="3"/>
      <c r="Q516" s="84" t="s">
        <v>382</v>
      </c>
      <c r="R516" s="3"/>
      <c r="S516" s="488">
        <f t="shared" si="51"/>
        <v>0</v>
      </c>
      <c r="T516" s="8">
        <f t="shared" si="52"/>
        <v>0</v>
      </c>
      <c r="U516" s="61">
        <f>T516*係数!$H$30</f>
        <v>0</v>
      </c>
      <c r="V516" s="61">
        <f>T516*係数!$C$30*0.0000258</f>
        <v>0</v>
      </c>
      <c r="W516" s="8">
        <f t="shared" si="53"/>
        <v>0</v>
      </c>
      <c r="X516" s="272">
        <f t="shared" si="54"/>
        <v>0</v>
      </c>
      <c r="Y516" s="489">
        <f t="shared" si="55"/>
        <v>0</v>
      </c>
    </row>
    <row r="517" spans="1:25">
      <c r="B517" s="100" t="s">
        <v>861</v>
      </c>
      <c r="C517" s="12"/>
      <c r="D517" s="3"/>
      <c r="E517" s="77"/>
      <c r="F517" s="62"/>
      <c r="G517" s="62"/>
      <c r="H517" s="84" t="s">
        <v>382</v>
      </c>
      <c r="I517" s="3"/>
      <c r="J517" s="60">
        <f t="shared" si="56"/>
        <v>0</v>
      </c>
      <c r="K517" s="60">
        <f t="shared" si="50"/>
        <v>0</v>
      </c>
      <c r="L517" s="61">
        <f>K517*係数!$H$30</f>
        <v>0</v>
      </c>
      <c r="M517" s="61">
        <f>K517*係数!$C$30*0.0000258</f>
        <v>0</v>
      </c>
      <c r="N517" s="12"/>
      <c r="O517" s="3"/>
      <c r="P517" s="3"/>
      <c r="Q517" s="84" t="s">
        <v>382</v>
      </c>
      <c r="R517" s="3"/>
      <c r="S517" s="488">
        <f t="shared" si="51"/>
        <v>0</v>
      </c>
      <c r="T517" s="8">
        <f t="shared" si="52"/>
        <v>0</v>
      </c>
      <c r="U517" s="61">
        <f>T517*係数!$H$30</f>
        <v>0</v>
      </c>
      <c r="V517" s="61">
        <f>T517*係数!$C$30*0.0000258</f>
        <v>0</v>
      </c>
      <c r="W517" s="8">
        <f t="shared" si="53"/>
        <v>0</v>
      </c>
      <c r="X517" s="272">
        <f t="shared" si="54"/>
        <v>0</v>
      </c>
      <c r="Y517" s="489">
        <f t="shared" si="55"/>
        <v>0</v>
      </c>
    </row>
    <row r="518" spans="1:25">
      <c r="B518" s="100" t="s">
        <v>862</v>
      </c>
      <c r="C518" s="12"/>
      <c r="D518" s="3"/>
      <c r="E518" s="77"/>
      <c r="F518" s="62"/>
      <c r="G518" s="62"/>
      <c r="H518" s="84" t="s">
        <v>382</v>
      </c>
      <c r="I518" s="3"/>
      <c r="J518" s="60">
        <f t="shared" si="56"/>
        <v>0</v>
      </c>
      <c r="K518" s="60">
        <f t="shared" si="50"/>
        <v>0</v>
      </c>
      <c r="L518" s="61">
        <f>K518*係数!$H$30</f>
        <v>0</v>
      </c>
      <c r="M518" s="61">
        <f>K518*係数!$C$30*0.0000258</f>
        <v>0</v>
      </c>
      <c r="N518" s="12"/>
      <c r="O518" s="3"/>
      <c r="P518" s="3"/>
      <c r="Q518" s="84" t="s">
        <v>382</v>
      </c>
      <c r="R518" s="3"/>
      <c r="S518" s="488">
        <f t="shared" si="51"/>
        <v>0</v>
      </c>
      <c r="T518" s="8">
        <f t="shared" si="52"/>
        <v>0</v>
      </c>
      <c r="U518" s="61">
        <f>T518*係数!$H$30</f>
        <v>0</v>
      </c>
      <c r="V518" s="61">
        <f>T518*係数!$C$30*0.0000258</f>
        <v>0</v>
      </c>
      <c r="W518" s="8">
        <f t="shared" si="53"/>
        <v>0</v>
      </c>
      <c r="X518" s="272">
        <f t="shared" si="54"/>
        <v>0</v>
      </c>
      <c r="Y518" s="489">
        <f t="shared" si="55"/>
        <v>0</v>
      </c>
    </row>
    <row r="519" spans="1:25">
      <c r="B519" s="100" t="s">
        <v>863</v>
      </c>
      <c r="C519" s="12"/>
      <c r="D519" s="3"/>
      <c r="E519" s="77"/>
      <c r="F519" s="62"/>
      <c r="G519" s="62"/>
      <c r="H519" s="84" t="s">
        <v>382</v>
      </c>
      <c r="I519" s="3"/>
      <c r="J519" s="60">
        <f t="shared" si="56"/>
        <v>0</v>
      </c>
      <c r="K519" s="60">
        <f t="shared" si="50"/>
        <v>0</v>
      </c>
      <c r="L519" s="61">
        <f>K519*係数!$H$30</f>
        <v>0</v>
      </c>
      <c r="M519" s="61">
        <f>K519*係数!$C$30*0.0000258</f>
        <v>0</v>
      </c>
      <c r="N519" s="12"/>
      <c r="O519" s="3"/>
      <c r="P519" s="3"/>
      <c r="Q519" s="84" t="s">
        <v>382</v>
      </c>
      <c r="R519" s="3"/>
      <c r="S519" s="488">
        <f t="shared" si="51"/>
        <v>0</v>
      </c>
      <c r="T519" s="8">
        <f t="shared" si="52"/>
        <v>0</v>
      </c>
      <c r="U519" s="61">
        <f>T519*係数!$H$30</f>
        <v>0</v>
      </c>
      <c r="V519" s="61">
        <f>T519*係数!$C$30*0.0000258</f>
        <v>0</v>
      </c>
      <c r="W519" s="8">
        <f t="shared" si="53"/>
        <v>0</v>
      </c>
      <c r="X519" s="272">
        <f t="shared" si="54"/>
        <v>0</v>
      </c>
      <c r="Y519" s="489">
        <f t="shared" si="55"/>
        <v>0</v>
      </c>
    </row>
    <row r="520" spans="1:25" s="52" customFormat="1">
      <c r="B520" s="22"/>
      <c r="C520" s="490"/>
      <c r="D520" s="22"/>
      <c r="E520" s="491"/>
      <c r="F520" s="492"/>
      <c r="G520" s="492"/>
      <c r="H520" s="271"/>
      <c r="I520" s="22"/>
      <c r="J520" s="493"/>
      <c r="K520" s="493"/>
      <c r="L520" s="494"/>
      <c r="M520" s="494"/>
      <c r="N520" s="490"/>
      <c r="O520" s="22"/>
      <c r="P520" s="22"/>
      <c r="Q520" s="271"/>
      <c r="R520" s="22"/>
      <c r="S520" s="495"/>
      <c r="T520" s="496"/>
      <c r="U520" s="494"/>
      <c r="V520" s="494"/>
      <c r="W520" s="496"/>
      <c r="X520" s="497"/>
      <c r="Y520" s="498"/>
    </row>
    <row r="521" spans="1:25" s="52" customFormat="1" ht="29">
      <c r="A521" s="499" t="s">
        <v>964</v>
      </c>
      <c r="G521" s="22"/>
      <c r="H521" s="22"/>
      <c r="I521" s="22"/>
      <c r="J521" s="409"/>
      <c r="K521" s="22"/>
      <c r="L521" s="410"/>
      <c r="M521" s="410"/>
      <c r="N521" s="410"/>
      <c r="O521" s="436"/>
      <c r="P521" s="437"/>
      <c r="Q521" s="437"/>
    </row>
    <row r="522" spans="1:25" s="52" customFormat="1">
      <c r="B522" s="22"/>
      <c r="C522" s="490"/>
      <c r="D522" s="22"/>
      <c r="E522" s="491"/>
      <c r="F522" s="492"/>
      <c r="G522" s="492"/>
      <c r="H522" s="271"/>
      <c r="I522" s="22"/>
      <c r="J522" s="493"/>
      <c r="K522" s="493"/>
      <c r="L522" s="494"/>
      <c r="M522" s="494"/>
      <c r="N522" s="490"/>
      <c r="O522" s="22"/>
      <c r="P522" s="22"/>
      <c r="Q522" s="271"/>
      <c r="R522" s="22"/>
      <c r="S522" s="495"/>
      <c r="T522" s="496"/>
      <c r="U522" s="494"/>
      <c r="V522" s="494"/>
      <c r="W522" s="496"/>
      <c r="X522" s="497"/>
      <c r="Y522" s="498"/>
    </row>
    <row r="523" spans="1:25" s="52" customFormat="1">
      <c r="B523" s="22"/>
      <c r="C523" s="490"/>
      <c r="D523" s="22"/>
      <c r="E523" s="491"/>
      <c r="F523" s="492"/>
      <c r="G523" s="492"/>
      <c r="H523" s="271"/>
      <c r="I523" s="22"/>
      <c r="J523" s="493"/>
      <c r="K523" s="493"/>
      <c r="L523" s="494"/>
      <c r="M523" s="494"/>
      <c r="N523" s="490"/>
      <c r="O523" s="22"/>
      <c r="P523" s="22"/>
      <c r="Q523" s="271"/>
      <c r="R523" s="22"/>
      <c r="S523" s="495"/>
      <c r="T523" s="496"/>
      <c r="U523" s="494"/>
      <c r="V523" s="494"/>
      <c r="W523" s="496"/>
      <c r="X523" s="497"/>
      <c r="Y523" s="498"/>
    </row>
    <row r="524" spans="1:25" s="52" customFormat="1">
      <c r="B524" s="22"/>
      <c r="C524" s="490"/>
      <c r="D524" s="22"/>
      <c r="E524" s="491"/>
      <c r="F524" s="492"/>
      <c r="G524" s="492"/>
      <c r="H524" s="271"/>
      <c r="I524" s="22"/>
      <c r="J524" s="493"/>
      <c r="K524" s="493"/>
      <c r="L524" s="494"/>
      <c r="M524" s="494"/>
      <c r="N524" s="490"/>
      <c r="O524" s="22"/>
      <c r="P524" s="22"/>
      <c r="Q524" s="271"/>
      <c r="R524" s="22"/>
      <c r="S524" s="495"/>
      <c r="T524" s="496"/>
      <c r="U524" s="494"/>
      <c r="V524" s="494"/>
      <c r="W524" s="496"/>
      <c r="X524" s="497"/>
      <c r="Y524" s="498"/>
    </row>
    <row r="525" spans="1:25" s="52" customFormat="1">
      <c r="B525" s="22"/>
      <c r="C525" s="490"/>
      <c r="D525" s="22"/>
      <c r="E525" s="491"/>
      <c r="F525" s="492"/>
      <c r="G525" s="492"/>
      <c r="H525" s="271"/>
      <c r="I525" s="22"/>
      <c r="J525" s="493"/>
      <c r="K525" s="493"/>
      <c r="L525" s="494"/>
      <c r="M525" s="494"/>
      <c r="N525" s="490"/>
      <c r="O525" s="22"/>
      <c r="P525" s="22"/>
      <c r="Q525" s="271"/>
      <c r="R525" s="22"/>
      <c r="S525" s="495"/>
      <c r="T525" s="496"/>
      <c r="U525" s="494"/>
      <c r="V525" s="494"/>
      <c r="W525" s="496"/>
      <c r="X525" s="497"/>
      <c r="Y525" s="498"/>
    </row>
    <row r="526" spans="1:25" s="52" customFormat="1">
      <c r="B526" s="22"/>
      <c r="C526" s="490"/>
      <c r="D526" s="22"/>
      <c r="E526" s="491"/>
      <c r="F526" s="492"/>
      <c r="G526" s="492"/>
      <c r="H526" s="271"/>
      <c r="I526" s="22"/>
      <c r="J526" s="493"/>
      <c r="K526" s="493"/>
      <c r="L526" s="494"/>
      <c r="M526" s="494"/>
      <c r="N526" s="490"/>
      <c r="O526" s="22"/>
      <c r="P526" s="22"/>
      <c r="Q526" s="271"/>
      <c r="R526" s="22"/>
      <c r="S526" s="495"/>
      <c r="T526" s="496"/>
      <c r="U526" s="494"/>
      <c r="V526" s="494"/>
      <c r="W526" s="496"/>
      <c r="X526" s="497"/>
      <c r="Y526" s="498"/>
    </row>
    <row r="527" spans="1:25" s="52" customFormat="1">
      <c r="B527" s="500" t="str">
        <f>HYPERLINK("#B2", "【シートトップ】ハイパーリンク")</f>
        <v>【シートトップ】ハイパーリンク</v>
      </c>
      <c r="N527" s="501"/>
    </row>
    <row r="528" spans="1:25" s="52" customFormat="1">
      <c r="B528" s="620" t="s">
        <v>20</v>
      </c>
      <c r="C528" s="264" t="s">
        <v>22</v>
      </c>
      <c r="D528" s="469"/>
      <c r="E528" s="469"/>
      <c r="F528" s="469"/>
      <c r="G528" s="469"/>
      <c r="H528" s="469"/>
      <c r="I528" s="469"/>
      <c r="J528" s="469"/>
      <c r="K528" s="469"/>
      <c r="L528" s="469"/>
      <c r="M528" s="412"/>
      <c r="N528" s="265" t="s">
        <v>102</v>
      </c>
      <c r="O528" s="104"/>
      <c r="P528" s="104"/>
      <c r="Q528" s="104"/>
      <c r="R528" s="104"/>
      <c r="S528" s="104"/>
      <c r="T528" s="104"/>
      <c r="U528" s="104"/>
      <c r="V528" s="105"/>
      <c r="W528" s="103" t="s">
        <v>31</v>
      </c>
      <c r="X528" s="104"/>
      <c r="Y528" s="105"/>
    </row>
    <row r="529" spans="2:25" s="52" customFormat="1" ht="33">
      <c r="B529" s="611"/>
      <c r="C529" s="470" t="s">
        <v>963</v>
      </c>
      <c r="D529" s="471" t="s">
        <v>940</v>
      </c>
      <c r="E529" s="471" t="s">
        <v>33</v>
      </c>
      <c r="F529" s="471" t="s">
        <v>748</v>
      </c>
      <c r="G529" s="471" t="s">
        <v>351</v>
      </c>
      <c r="H529" s="471" t="s">
        <v>1061</v>
      </c>
      <c r="I529" s="471" t="s">
        <v>1062</v>
      </c>
      <c r="J529" s="471" t="s">
        <v>749</v>
      </c>
      <c r="K529" s="471" t="s">
        <v>352</v>
      </c>
      <c r="L529" s="471" t="s">
        <v>36</v>
      </c>
      <c r="M529" s="471" t="s">
        <v>1116</v>
      </c>
      <c r="N529" s="470" t="s">
        <v>892</v>
      </c>
      <c r="O529" s="471" t="s">
        <v>941</v>
      </c>
      <c r="P529" s="471" t="s">
        <v>37</v>
      </c>
      <c r="Q529" s="471" t="s">
        <v>1061</v>
      </c>
      <c r="R529" s="471" t="s">
        <v>1060</v>
      </c>
      <c r="S529" s="471" t="s">
        <v>750</v>
      </c>
      <c r="T529" s="471" t="s">
        <v>353</v>
      </c>
      <c r="U529" s="471" t="s">
        <v>41</v>
      </c>
      <c r="V529" s="471" t="s">
        <v>1116</v>
      </c>
      <c r="W529" s="176" t="s">
        <v>42</v>
      </c>
      <c r="X529" s="176" t="s">
        <v>43</v>
      </c>
      <c r="Y529" s="176" t="s">
        <v>1068</v>
      </c>
    </row>
    <row r="530" spans="2:25" s="52" customFormat="1">
      <c r="B530" s="100" t="s">
        <v>21</v>
      </c>
      <c r="C530" s="193"/>
      <c r="D530" s="402" t="s">
        <v>45</v>
      </c>
      <c r="E530" s="402" t="s">
        <v>44</v>
      </c>
      <c r="F530" s="402" t="s">
        <v>46</v>
      </c>
      <c r="G530" s="402" t="s">
        <v>47</v>
      </c>
      <c r="H530" s="141"/>
      <c r="I530" s="402" t="s">
        <v>133</v>
      </c>
      <c r="J530" s="472" t="s">
        <v>48</v>
      </c>
      <c r="K530" s="402" t="s">
        <v>19</v>
      </c>
      <c r="L530" s="101" t="s">
        <v>8</v>
      </c>
      <c r="M530" s="101" t="s">
        <v>763</v>
      </c>
      <c r="N530" s="473"/>
      <c r="O530" s="402" t="s">
        <v>45</v>
      </c>
      <c r="P530" s="402" t="s">
        <v>44</v>
      </c>
      <c r="Q530" s="141"/>
      <c r="R530" s="402" t="s">
        <v>133</v>
      </c>
      <c r="S530" s="402" t="s">
        <v>48</v>
      </c>
      <c r="T530" s="402" t="s">
        <v>19</v>
      </c>
      <c r="U530" s="101" t="s">
        <v>8</v>
      </c>
      <c r="V530" s="101" t="s">
        <v>763</v>
      </c>
      <c r="W530" s="402" t="s">
        <v>19</v>
      </c>
      <c r="X530" s="101" t="s">
        <v>8</v>
      </c>
      <c r="Y530" s="402" t="s">
        <v>763</v>
      </c>
    </row>
    <row r="531" spans="2:25" s="52" customFormat="1">
      <c r="B531" s="402" t="s">
        <v>16</v>
      </c>
      <c r="C531" s="502"/>
      <c r="D531" s="20">
        <f>SUM(D532:D536)</f>
        <v>110</v>
      </c>
      <c r="E531" s="425"/>
      <c r="F531" s="503"/>
      <c r="G531" s="503"/>
      <c r="H531" s="502"/>
      <c r="I531" s="503"/>
      <c r="J531" s="504"/>
      <c r="K531" s="60">
        <f>SUM(K532:K536)</f>
        <v>14580</v>
      </c>
      <c r="L531" s="61">
        <f>SUM(L532:L536)</f>
        <v>6.2839799999999997</v>
      </c>
      <c r="M531" s="61">
        <f>SUM(M532:M536)</f>
        <v>3.2500569600000002</v>
      </c>
      <c r="N531" s="505"/>
      <c r="O531" s="20">
        <f>SUM(O532:O536)</f>
        <v>110</v>
      </c>
      <c r="P531" s="502"/>
      <c r="Q531" s="502"/>
      <c r="R531" s="503"/>
      <c r="S531" s="506"/>
      <c r="T531" s="60">
        <f t="shared" ref="T531:Y531" si="57">SUM(T532:T536)</f>
        <v>7063.35</v>
      </c>
      <c r="U531" s="61">
        <f t="shared" si="57"/>
        <v>3.0443038500000004</v>
      </c>
      <c r="V531" s="61">
        <f t="shared" si="57"/>
        <v>1.5745054752000003</v>
      </c>
      <c r="W531" s="60">
        <f t="shared" si="57"/>
        <v>7516.65</v>
      </c>
      <c r="X531" s="272">
        <f t="shared" si="57"/>
        <v>3.2396761500000002</v>
      </c>
      <c r="Y531" s="507">
        <f t="shared" si="57"/>
        <v>1.6755514847999999</v>
      </c>
    </row>
    <row r="532" spans="2:25" s="52" customFormat="1">
      <c r="B532" s="100" t="s">
        <v>49</v>
      </c>
      <c r="C532" s="484" t="s">
        <v>951</v>
      </c>
      <c r="D532" s="419">
        <v>10</v>
      </c>
      <c r="E532" s="485">
        <v>32</v>
      </c>
      <c r="F532" s="486">
        <v>2</v>
      </c>
      <c r="G532" s="486">
        <v>250</v>
      </c>
      <c r="H532" s="487" t="s">
        <v>382</v>
      </c>
      <c r="I532" s="419"/>
      <c r="J532" s="60">
        <f>IF(H532="○",F532*G532*I532/100,F532*G532)</f>
        <v>500</v>
      </c>
      <c r="K532" s="60">
        <f>E532*D532*J532/1000</f>
        <v>160</v>
      </c>
      <c r="L532" s="61">
        <f>K532*係数!$H$30</f>
        <v>6.8960000000000007E-2</v>
      </c>
      <c r="M532" s="61">
        <f>K532*係数!$C$30*0.0000258</f>
        <v>3.5665920000000004E-2</v>
      </c>
      <c r="N532" s="484" t="s">
        <v>957</v>
      </c>
      <c r="O532" s="419">
        <v>10</v>
      </c>
      <c r="P532" s="419">
        <v>20.6</v>
      </c>
      <c r="Q532" s="487" t="s">
        <v>229</v>
      </c>
      <c r="R532" s="419">
        <v>30</v>
      </c>
      <c r="S532" s="488">
        <f>IF(Q532="○",F532*G532*R532/100,F532*G532)</f>
        <v>150</v>
      </c>
      <c r="T532" s="8">
        <f>P532*O532*S532/1000</f>
        <v>30.9</v>
      </c>
      <c r="U532" s="61">
        <f>T532*係数!$H$30</f>
        <v>1.3317900000000001E-2</v>
      </c>
      <c r="V532" s="61">
        <f>T532*係数!$C$30*0.0000258</f>
        <v>6.8879808000000004E-3</v>
      </c>
      <c r="W532" s="8">
        <f t="shared" ref="W532:Y536" si="58">K532-T532</f>
        <v>129.1</v>
      </c>
      <c r="X532" s="272">
        <f t="shared" si="58"/>
        <v>5.5642100000000007E-2</v>
      </c>
      <c r="Y532" s="489">
        <f t="shared" si="58"/>
        <v>2.8777939200000005E-2</v>
      </c>
    </row>
    <row r="533" spans="2:25" s="52" customFormat="1">
      <c r="B533" s="100" t="s">
        <v>50</v>
      </c>
      <c r="C533" s="484" t="s">
        <v>950</v>
      </c>
      <c r="D533" s="419">
        <v>40</v>
      </c>
      <c r="E533" s="485">
        <v>64</v>
      </c>
      <c r="F533" s="486">
        <v>8</v>
      </c>
      <c r="G533" s="486">
        <v>250</v>
      </c>
      <c r="H533" s="487" t="s">
        <v>382</v>
      </c>
      <c r="I533" s="419"/>
      <c r="J533" s="60">
        <f>IF(H533="○",F533*G533*I533/100,F533*G533)</f>
        <v>2000</v>
      </c>
      <c r="K533" s="60">
        <f>E533*D533*J533/1000</f>
        <v>5120</v>
      </c>
      <c r="L533" s="61">
        <f>K533*係数!$H$30</f>
        <v>2.2067200000000002</v>
      </c>
      <c r="M533" s="61">
        <f>K533*係数!$C$30*0.0000258</f>
        <v>1.1413094400000001</v>
      </c>
      <c r="N533" s="484" t="s">
        <v>958</v>
      </c>
      <c r="O533" s="419">
        <v>40</v>
      </c>
      <c r="P533" s="419">
        <v>43.1</v>
      </c>
      <c r="Q533" s="487" t="s">
        <v>382</v>
      </c>
      <c r="R533" s="419"/>
      <c r="S533" s="488">
        <f t="shared" ref="S533:S536" si="59">IF(Q533="○",F533*G533*R533/100,F533*G533)</f>
        <v>2000</v>
      </c>
      <c r="T533" s="8">
        <f>P533*O533*S533/1000</f>
        <v>3448</v>
      </c>
      <c r="U533" s="61">
        <f>T533*係数!$H$30</f>
        <v>1.4860880000000001</v>
      </c>
      <c r="V533" s="61">
        <f>T533*係数!$C$30*0.0000258</f>
        <v>0.76860057600000009</v>
      </c>
      <c r="W533" s="8">
        <f t="shared" si="58"/>
        <v>1672</v>
      </c>
      <c r="X533" s="272">
        <f t="shared" si="58"/>
        <v>0.72063200000000016</v>
      </c>
      <c r="Y533" s="489">
        <f t="shared" si="58"/>
        <v>0.37270886400000003</v>
      </c>
    </row>
    <row r="534" spans="2:25" s="52" customFormat="1">
      <c r="B534" s="100" t="s">
        <v>51</v>
      </c>
      <c r="C534" s="484" t="s">
        <v>952</v>
      </c>
      <c r="D534" s="419">
        <v>10</v>
      </c>
      <c r="E534" s="485">
        <v>40</v>
      </c>
      <c r="F534" s="486">
        <v>2</v>
      </c>
      <c r="G534" s="486">
        <v>250</v>
      </c>
      <c r="H534" s="487" t="s">
        <v>382</v>
      </c>
      <c r="I534" s="419"/>
      <c r="J534" s="60">
        <f>IF(H534="○",F534*G534*I534/100,F534*G534)</f>
        <v>500</v>
      </c>
      <c r="K534" s="60">
        <f>E534*D534*J534/1000</f>
        <v>200</v>
      </c>
      <c r="L534" s="61">
        <f>K534*係数!$H$30</f>
        <v>8.6199999999999999E-2</v>
      </c>
      <c r="M534" s="61">
        <f>K534*係数!$C$30*0.0000258</f>
        <v>4.4582400000000001E-2</v>
      </c>
      <c r="N534" s="484" t="s">
        <v>959</v>
      </c>
      <c r="O534" s="419">
        <v>10</v>
      </c>
      <c r="P534" s="419">
        <v>16.3</v>
      </c>
      <c r="Q534" s="487" t="s">
        <v>229</v>
      </c>
      <c r="R534" s="419">
        <v>30</v>
      </c>
      <c r="S534" s="488">
        <f t="shared" si="59"/>
        <v>150</v>
      </c>
      <c r="T534" s="8">
        <f>P534*O534*S534/1000</f>
        <v>24.45</v>
      </c>
      <c r="U534" s="61">
        <f>T534*係数!$H$30</f>
        <v>1.0537950000000001E-2</v>
      </c>
      <c r="V534" s="61">
        <f>T534*係数!$C$30*0.0000258</f>
        <v>5.4501984000000009E-3</v>
      </c>
      <c r="W534" s="8">
        <f t="shared" si="58"/>
        <v>175.55</v>
      </c>
      <c r="X534" s="272">
        <f t="shared" si="58"/>
        <v>7.5662049999999995E-2</v>
      </c>
      <c r="Y534" s="489">
        <f t="shared" si="58"/>
        <v>3.9132201599999999E-2</v>
      </c>
    </row>
    <row r="535" spans="2:25" s="52" customFormat="1">
      <c r="B535" s="100" t="s">
        <v>52</v>
      </c>
      <c r="C535" s="484" t="s">
        <v>953</v>
      </c>
      <c r="D535" s="419">
        <v>40</v>
      </c>
      <c r="E535" s="485">
        <v>80</v>
      </c>
      <c r="F535" s="486">
        <v>8</v>
      </c>
      <c r="G535" s="486">
        <v>250</v>
      </c>
      <c r="H535" s="487" t="s">
        <v>382</v>
      </c>
      <c r="I535" s="419"/>
      <c r="J535" s="60">
        <f>IF(H535="○",F535*G535*I535/100,F535*G535)</f>
        <v>2000</v>
      </c>
      <c r="K535" s="60">
        <f>E535*D535*J535/1000</f>
        <v>6400</v>
      </c>
      <c r="L535" s="61">
        <f>K535*係数!$H$30</f>
        <v>2.7584</v>
      </c>
      <c r="M535" s="61">
        <f>K535*係数!$C$30*0.0000258</f>
        <v>1.4266368</v>
      </c>
      <c r="N535" s="484" t="s">
        <v>960</v>
      </c>
      <c r="O535" s="419">
        <v>40</v>
      </c>
      <c r="P535" s="419">
        <v>31.9</v>
      </c>
      <c r="Q535" s="487" t="s">
        <v>382</v>
      </c>
      <c r="R535" s="419"/>
      <c r="S535" s="488">
        <f t="shared" si="59"/>
        <v>2000</v>
      </c>
      <c r="T535" s="8">
        <f>P535*O535*S535/1000</f>
        <v>2552</v>
      </c>
      <c r="U535" s="61">
        <f>T535*係数!$H$30</f>
        <v>1.099912</v>
      </c>
      <c r="V535" s="61">
        <f>T535*係数!$C$30*0.0000258</f>
        <v>0.56887142400000013</v>
      </c>
      <c r="W535" s="8">
        <f t="shared" si="58"/>
        <v>3848</v>
      </c>
      <c r="X535" s="272">
        <f t="shared" si="58"/>
        <v>1.658488</v>
      </c>
      <c r="Y535" s="489">
        <f t="shared" si="58"/>
        <v>0.85776537599999991</v>
      </c>
    </row>
    <row r="536" spans="2:25" s="52" customFormat="1">
      <c r="B536" s="100" t="s">
        <v>53</v>
      </c>
      <c r="C536" s="484" t="s">
        <v>962</v>
      </c>
      <c r="D536" s="419">
        <v>10</v>
      </c>
      <c r="E536" s="485">
        <v>300</v>
      </c>
      <c r="F536" s="486">
        <v>6</v>
      </c>
      <c r="G536" s="486">
        <v>150</v>
      </c>
      <c r="H536" s="487" t="s">
        <v>382</v>
      </c>
      <c r="I536" s="419"/>
      <c r="J536" s="60">
        <f>IF(H536="○",F536*G536*I536/100,F536*G536)</f>
        <v>900</v>
      </c>
      <c r="K536" s="60">
        <f>E536*D536*J536/1000</f>
        <v>2700</v>
      </c>
      <c r="L536" s="61">
        <f>K536*係数!$H$30</f>
        <v>1.1637</v>
      </c>
      <c r="M536" s="61">
        <f>K536*係数!$C$30*0.0000258</f>
        <v>0.60186240000000002</v>
      </c>
      <c r="N536" s="484" t="s">
        <v>961</v>
      </c>
      <c r="O536" s="419">
        <v>10</v>
      </c>
      <c r="P536" s="419">
        <v>112</v>
      </c>
      <c r="Q536" s="487" t="s">
        <v>382</v>
      </c>
      <c r="R536" s="419"/>
      <c r="S536" s="488">
        <f t="shared" si="59"/>
        <v>900</v>
      </c>
      <c r="T536" s="8">
        <f>P536*O536*S536/1000</f>
        <v>1008</v>
      </c>
      <c r="U536" s="61">
        <f>T536*係数!$H$30</f>
        <v>0.434448</v>
      </c>
      <c r="V536" s="61">
        <f>T536*係数!$C$30*0.0000258</f>
        <v>0.22469529600000002</v>
      </c>
      <c r="W536" s="8">
        <f t="shared" si="58"/>
        <v>1692</v>
      </c>
      <c r="X536" s="272">
        <f t="shared" si="58"/>
        <v>0.72925200000000001</v>
      </c>
      <c r="Y536" s="489">
        <f t="shared" si="58"/>
        <v>0.37716710399999998</v>
      </c>
    </row>
    <row r="537" spans="2:25" s="52" customFormat="1">
      <c r="N537" s="501"/>
      <c r="O537" s="501"/>
      <c r="P537" s="501"/>
    </row>
    <row r="538" spans="2:25" s="52" customFormat="1">
      <c r="N538" s="501"/>
      <c r="O538" s="501"/>
      <c r="P538" s="501"/>
    </row>
    <row r="539" spans="2:25" s="52" customFormat="1">
      <c r="N539" s="501"/>
      <c r="O539" s="501"/>
      <c r="P539" s="501"/>
    </row>
    <row r="540" spans="2:25" s="52" customFormat="1">
      <c r="N540" s="501"/>
      <c r="O540" s="501"/>
      <c r="P540" s="501"/>
    </row>
    <row r="541" spans="2:25" s="52" customFormat="1">
      <c r="N541" s="501"/>
      <c r="O541" s="501"/>
      <c r="P541" s="501"/>
    </row>
    <row r="542" spans="2:25" s="52" customFormat="1">
      <c r="N542" s="501"/>
      <c r="O542" s="501"/>
      <c r="P542" s="501"/>
    </row>
    <row r="543" spans="2:25" s="52" customFormat="1">
      <c r="N543" s="501"/>
      <c r="O543" s="501"/>
      <c r="P543" s="501"/>
    </row>
    <row r="544" spans="2:25" s="52" customFormat="1">
      <c r="N544" s="501"/>
      <c r="O544" s="501"/>
      <c r="P544" s="501"/>
    </row>
    <row r="545" spans="14:18" s="52" customFormat="1">
      <c r="N545" s="501"/>
      <c r="O545" s="501"/>
      <c r="P545" s="501"/>
    </row>
    <row r="546" spans="14:18" s="52" customFormat="1">
      <c r="N546" s="501"/>
      <c r="O546" s="501"/>
      <c r="P546" s="501"/>
    </row>
    <row r="547" spans="14:18" s="52" customFormat="1">
      <c r="N547" s="501"/>
      <c r="O547" s="501"/>
      <c r="P547" s="501"/>
    </row>
    <row r="548" spans="14:18" s="52" customFormat="1">
      <c r="N548" s="508"/>
      <c r="O548" s="501"/>
      <c r="P548" s="501"/>
      <c r="Q548" s="501"/>
    </row>
    <row r="549" spans="14:18" s="52" customFormat="1">
      <c r="O549" s="508"/>
      <c r="P549" s="501"/>
      <c r="Q549" s="501"/>
      <c r="R549" s="501"/>
    </row>
    <row r="550" spans="14:18" s="52" customFormat="1">
      <c r="O550" s="508"/>
      <c r="P550" s="501"/>
      <c r="Q550" s="501"/>
      <c r="R550" s="501"/>
    </row>
    <row r="551" spans="14:18" s="52" customFormat="1">
      <c r="O551" s="508"/>
      <c r="P551" s="501"/>
      <c r="Q551" s="501"/>
      <c r="R551" s="501"/>
    </row>
    <row r="552" spans="14:18" s="52" customFormat="1">
      <c r="O552" s="508"/>
      <c r="P552" s="501"/>
      <c r="Q552" s="501"/>
      <c r="R552" s="501"/>
    </row>
    <row r="553" spans="14:18" s="52" customFormat="1">
      <c r="O553" s="508"/>
      <c r="P553" s="501"/>
      <c r="Q553" s="501"/>
      <c r="R553" s="501"/>
    </row>
    <row r="554" spans="14:18" s="52" customFormat="1">
      <c r="O554" s="508"/>
      <c r="P554" s="501"/>
      <c r="Q554" s="501"/>
      <c r="R554" s="501"/>
    </row>
    <row r="555" spans="14:18" s="52" customFormat="1">
      <c r="O555" s="508"/>
      <c r="P555" s="501"/>
      <c r="Q555" s="501"/>
      <c r="R555" s="501"/>
    </row>
  </sheetData>
  <sheetProtection algorithmName="SHA-512" hashValue="54LIvNGGmLCJ51maiUgBEhs1E15jxZwl184YF5m+O3cYC9TA4MEiimU0YocZ44bvsOZYHyVerJcVWJAwXDovUg==" saltValue="CW91hs8urrjyTSiwan3j2g==" spinCount="100000" sheet="1" formatCells="0" formatColumns="0" formatRows="0"/>
  <mergeCells count="11">
    <mergeCell ref="K3:T3"/>
    <mergeCell ref="K4:T4"/>
    <mergeCell ref="K6:T6"/>
    <mergeCell ref="M7:T7"/>
    <mergeCell ref="B528:B529"/>
    <mergeCell ref="B4:C4"/>
    <mergeCell ref="B5:C5"/>
    <mergeCell ref="B6:C6"/>
    <mergeCell ref="B16:B17"/>
    <mergeCell ref="B7:C7"/>
    <mergeCell ref="K7:L7"/>
  </mergeCells>
  <phoneticPr fontId="6"/>
  <conditionalFormatting sqref="R20:R520 R522:R526">
    <cfRule type="expression" dxfId="77" priority="15">
      <formula>$Q20&lt;&gt;"○"</formula>
    </cfRule>
  </conditionalFormatting>
  <conditionalFormatting sqref="I20:I520 I522:I526">
    <cfRule type="expression" dxfId="76" priority="13">
      <formula>$H20&lt;&gt;"○"</formula>
    </cfRule>
  </conditionalFormatting>
  <conditionalFormatting sqref="M7">
    <cfRule type="cellIs" dxfId="75" priority="12" operator="notEqual">
      <formula>"ー"</formula>
    </cfRule>
  </conditionalFormatting>
  <conditionalFormatting sqref="O19">
    <cfRule type="cellIs" dxfId="74" priority="38" operator="greaterThan">
      <formula>$D$19</formula>
    </cfRule>
  </conditionalFormatting>
  <conditionalFormatting sqref="R532:R536">
    <cfRule type="expression" dxfId="73" priority="4">
      <formula>$Q532&lt;&gt;"○"</formula>
    </cfRule>
  </conditionalFormatting>
  <conditionalFormatting sqref="I532:I536">
    <cfRule type="expression" dxfId="72" priority="3">
      <formula>$H532&lt;&gt;"○"</formula>
    </cfRule>
  </conditionalFormatting>
  <conditionalFormatting sqref="O531">
    <cfRule type="cellIs" dxfId="71" priority="5" operator="greaterThan">
      <formula>$D$531</formula>
    </cfRule>
  </conditionalFormatting>
  <dataValidations count="1">
    <dataValidation type="list" allowBlank="1" showInputMessage="1" showErrorMessage="1" sqref="H20:H519 Q20:Q519 Q532:Q536 H532:H536">
      <formula1>"ー,○"</formula1>
    </dataValidation>
  </dataValidations>
  <hyperlinks>
    <hyperlink ref="R10" display="https://www.enecho.meti.go.jp/category/saving_and_new/saving/enterprise/equipment/"/>
    <hyperlink ref="R11" location="search" display="https://sii.or.jp/setsubi05r/search/maker?tab=maker&amp;category=led_light#search"/>
  </hyperlinks>
  <pageMargins left="0.70866141732283472" right="0.70866141732283472" top="0.74803149606299213" bottom="0.74803149606299213" header="0.31496062992125984" footer="0.31496062992125984"/>
  <pageSetup paperSize="8" scale="66" fitToHeight="0" orientation="landscape"/>
  <ignoredErrors>
    <ignoredError sqref="F19 H19:J19 Q19:S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6"/>
  <sheetViews>
    <sheetView zoomScaleNormal="100" workbookViewId="0">
      <selection activeCell="C22" sqref="C22"/>
    </sheetView>
  </sheetViews>
  <sheetFormatPr defaultColWidth="8.83203125" defaultRowHeight="18"/>
  <cols>
    <col min="1" max="1" width="3.6640625" style="14" customWidth="1"/>
    <col min="2" max="2" width="9.1640625" style="14" customWidth="1"/>
    <col min="3" max="3" width="20" style="14" customWidth="1"/>
    <col min="4" max="22" width="10.08203125" style="14" customWidth="1"/>
    <col min="23" max="23" width="16.6640625" style="14" customWidth="1"/>
    <col min="24" max="38" width="10.08203125" style="14" customWidth="1"/>
    <col min="39" max="39" width="10.08203125" style="22" customWidth="1"/>
    <col min="40" max="41" width="10.08203125" style="14" customWidth="1"/>
    <col min="42" max="44" width="9.1640625" style="14" customWidth="1"/>
    <col min="45" max="16384" width="8.83203125" style="14"/>
  </cols>
  <sheetData>
    <row r="1" spans="1:47" ht="29">
      <c r="A1" s="13" t="str">
        <f>照明!A1</f>
        <v>令和7年度：排出量削減効果算定シート</v>
      </c>
      <c r="F1" s="22"/>
      <c r="G1" s="22"/>
      <c r="H1" s="22"/>
      <c r="I1" s="22"/>
      <c r="J1" s="22"/>
      <c r="K1" s="410"/>
      <c r="AA1" s="52"/>
    </row>
    <row r="2" spans="1:47" ht="29">
      <c r="A2" s="13" t="s">
        <v>891</v>
      </c>
      <c r="I2" s="52"/>
      <c r="X2" s="52"/>
      <c r="AJ2" s="22"/>
      <c r="AM2" s="14"/>
    </row>
    <row r="3" spans="1:47" ht="20.399999999999999" customHeight="1">
      <c r="B3" s="259" t="s">
        <v>928</v>
      </c>
      <c r="H3" s="19"/>
      <c r="I3" s="438"/>
      <c r="L3" s="628" t="str">
        <f>IF(OR(AND(O8="",N8=""),AND(O8="なし",N8="なし")),"特記事項","特記事項（記載必須）")</f>
        <v>特記事項</v>
      </c>
      <c r="M3" s="629"/>
      <c r="N3" s="629"/>
      <c r="O3" s="629"/>
      <c r="P3" s="629"/>
      <c r="Q3" s="629"/>
      <c r="R3" s="629"/>
      <c r="S3" s="629"/>
      <c r="T3" s="629"/>
      <c r="U3" s="630"/>
      <c r="AJ3" s="22"/>
      <c r="AK3" s="194"/>
      <c r="AL3" s="194"/>
      <c r="AM3" s="194"/>
      <c r="AN3" s="194"/>
      <c r="AO3" s="194"/>
    </row>
    <row r="4" spans="1:47" ht="20.399999999999999" customHeight="1">
      <c r="B4" s="621" t="s">
        <v>20</v>
      </c>
      <c r="C4" s="622"/>
      <c r="D4" s="102" t="s">
        <v>21</v>
      </c>
      <c r="E4" s="404" t="s">
        <v>22</v>
      </c>
      <c r="F4" s="404" t="s">
        <v>23</v>
      </c>
      <c r="G4" s="404" t="s">
        <v>24</v>
      </c>
      <c r="H4" s="19"/>
      <c r="I4" s="647" t="s">
        <v>1138</v>
      </c>
      <c r="J4" s="647"/>
      <c r="L4" s="631" t="s">
        <v>1038</v>
      </c>
      <c r="M4" s="632"/>
      <c r="N4" s="632"/>
      <c r="O4" s="632"/>
      <c r="P4" s="632"/>
      <c r="Q4" s="632"/>
      <c r="R4" s="632"/>
      <c r="S4" s="632"/>
      <c r="T4" s="632"/>
      <c r="U4" s="633"/>
      <c r="AJ4" s="22"/>
      <c r="AK4" s="194"/>
      <c r="AL4" s="194"/>
      <c r="AM4" s="194"/>
      <c r="AN4" s="194"/>
      <c r="AO4" s="194"/>
    </row>
    <row r="5" spans="1:47" ht="20.399999999999999" customHeight="1">
      <c r="B5" s="645" t="s">
        <v>100</v>
      </c>
      <c r="C5" s="645"/>
      <c r="D5" s="404" t="s">
        <v>19</v>
      </c>
      <c r="E5" s="74">
        <f>S21</f>
        <v>0</v>
      </c>
      <c r="F5" s="74">
        <f>AH21</f>
        <v>0</v>
      </c>
      <c r="G5" s="74">
        <f>E5-F5</f>
        <v>0</v>
      </c>
      <c r="H5" s="19"/>
      <c r="I5" s="606" t="s">
        <v>1136</v>
      </c>
      <c r="J5" s="605" t="s">
        <v>1137</v>
      </c>
      <c r="L5" s="50"/>
      <c r="T5" s="22"/>
      <c r="U5" s="22"/>
      <c r="V5" s="22"/>
      <c r="W5" s="22"/>
      <c r="X5" s="22"/>
      <c r="AJ5" s="22"/>
      <c r="AM5" s="14"/>
    </row>
    <row r="6" spans="1:47" ht="20.399999999999999" customHeight="1">
      <c r="B6" s="646" t="s">
        <v>110</v>
      </c>
      <c r="C6" s="646"/>
      <c r="D6" s="404" t="s">
        <v>111</v>
      </c>
      <c r="E6" s="315">
        <f>T21</f>
        <v>0</v>
      </c>
      <c r="F6" s="315">
        <f>AI21</f>
        <v>0</v>
      </c>
      <c r="G6" s="74">
        <f>E6-F6</f>
        <v>0</v>
      </c>
      <c r="H6" s="19"/>
      <c r="I6" s="680"/>
      <c r="J6" s="681">
        <f>I6*1.163/1000</f>
        <v>0</v>
      </c>
      <c r="L6" s="634" t="s">
        <v>367</v>
      </c>
      <c r="M6" s="635"/>
      <c r="N6" s="635"/>
      <c r="O6" s="635"/>
      <c r="P6" s="635"/>
      <c r="Q6" s="635"/>
      <c r="R6" s="635"/>
      <c r="S6" s="635"/>
      <c r="T6" s="635"/>
      <c r="U6" s="636"/>
      <c r="AN6" s="90"/>
      <c r="AO6" s="90"/>
    </row>
    <row r="7" spans="1:47">
      <c r="B7" s="645" t="s">
        <v>3</v>
      </c>
      <c r="C7" s="645"/>
      <c r="D7" s="403" t="s">
        <v>8</v>
      </c>
      <c r="E7" s="73">
        <f>U21</f>
        <v>0</v>
      </c>
      <c r="F7" s="73">
        <f>AJ21</f>
        <v>0</v>
      </c>
      <c r="G7" s="380">
        <f>ROUND(E7-F7,1)</f>
        <v>0</v>
      </c>
      <c r="H7" s="19"/>
      <c r="I7" s="648" t="s">
        <v>1139</v>
      </c>
      <c r="J7" s="648"/>
      <c r="L7" s="609" t="s">
        <v>369</v>
      </c>
      <c r="M7" s="609"/>
      <c r="N7" s="402" t="s">
        <v>103</v>
      </c>
      <c r="O7" s="402" t="s">
        <v>104</v>
      </c>
      <c r="P7" s="637" t="str">
        <f>IF(OR(OR(N8="",O8=""),AND(N8="なし",O8="なし")),"ー",IF(COUNTIF(N8:O8,"増加")&gt;0,"やむを得ず増加する場合は特記事項欄に理由を記載してください。(要根拠資料提出)","減少する理由を特記事項欄に記載してください。"))</f>
        <v>ー</v>
      </c>
      <c r="Q7" s="638"/>
      <c r="R7" s="638"/>
      <c r="S7" s="638"/>
      <c r="T7" s="638"/>
      <c r="U7" s="639"/>
    </row>
    <row r="8" spans="1:47">
      <c r="B8" s="645" t="s">
        <v>1117</v>
      </c>
      <c r="C8" s="645"/>
      <c r="D8" s="404" t="s">
        <v>29</v>
      </c>
      <c r="E8" s="76">
        <f>V21</f>
        <v>0</v>
      </c>
      <c r="F8" s="76">
        <f>AK21</f>
        <v>0</v>
      </c>
      <c r="G8" s="337">
        <f>ROUND(E8-F8,1)</f>
        <v>0</v>
      </c>
      <c r="H8" s="260"/>
      <c r="I8" s="509"/>
      <c r="L8" s="627" t="s">
        <v>227</v>
      </c>
      <c r="M8" s="627"/>
      <c r="N8" s="258" t="str">
        <f>IF(OR(I21=0,AB21=0),"",IF(I21=AB21,"なし",IF(I21&gt;AB21,"減少","増加")))</f>
        <v/>
      </c>
      <c r="O8" s="258" t="str">
        <f>IF(OR(N21=0,AE21=0),"",IF(N21=AE21,"なし",IF(N21&gt;AE21,"減少","増加")))</f>
        <v/>
      </c>
      <c r="P8" s="640"/>
      <c r="Q8" s="641"/>
      <c r="R8" s="641"/>
      <c r="S8" s="641"/>
      <c r="T8" s="641"/>
      <c r="U8" s="642"/>
      <c r="AN8" s="90"/>
      <c r="AO8" s="90"/>
    </row>
    <row r="9" spans="1:47">
      <c r="B9" s="453" t="s">
        <v>1050</v>
      </c>
      <c r="D9" s="122"/>
      <c r="E9" s="122"/>
      <c r="F9" s="271"/>
      <c r="G9" s="22"/>
      <c r="H9" s="195"/>
      <c r="I9" s="22"/>
      <c r="N9" s="52"/>
      <c r="O9" s="52"/>
      <c r="P9" s="52"/>
      <c r="Q9" s="53"/>
      <c r="R9" s="52"/>
      <c r="S9" s="52"/>
      <c r="T9" s="52"/>
      <c r="U9" s="52"/>
    </row>
    <row r="10" spans="1:47" ht="18.5" thickBot="1">
      <c r="A10" s="22"/>
      <c r="I10" s="22"/>
      <c r="AN10" s="223"/>
      <c r="AO10" s="223"/>
      <c r="AP10" s="223"/>
      <c r="AQ10" s="224"/>
      <c r="AR10" s="224"/>
      <c r="AS10" s="19"/>
      <c r="AT10" s="19"/>
      <c r="AU10" s="19"/>
    </row>
    <row r="11" spans="1:47" s="52" customFormat="1">
      <c r="A11" s="22"/>
      <c r="B11" s="53"/>
      <c r="I11" s="22"/>
      <c r="L11" s="454" t="s">
        <v>882</v>
      </c>
      <c r="M11" s="455"/>
      <c r="N11" s="455"/>
      <c r="O11" s="456"/>
      <c r="P11" s="303"/>
      <c r="Q11" s="510" t="s">
        <v>878</v>
      </c>
      <c r="R11" s="511"/>
      <c r="S11" s="511"/>
      <c r="T11" s="511"/>
      <c r="U11" s="511"/>
      <c r="V11" s="511"/>
      <c r="W11" s="142"/>
      <c r="X11" s="143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52" customFormat="1" ht="18.5" thickBot="1">
      <c r="A12" s="22"/>
      <c r="B12" s="228"/>
      <c r="C12" s="22"/>
      <c r="D12" s="22"/>
      <c r="L12" s="461" t="s">
        <v>883</v>
      </c>
      <c r="M12" s="512"/>
      <c r="N12" s="512"/>
      <c r="O12" s="512"/>
      <c r="P12" s="317"/>
      <c r="Q12" s="513" t="s">
        <v>880</v>
      </c>
      <c r="R12" s="514"/>
      <c r="S12" s="514"/>
      <c r="T12" s="514"/>
      <c r="U12" s="514"/>
      <c r="V12" s="514"/>
      <c r="W12" s="144"/>
      <c r="X12" s="145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52" customFormat="1">
      <c r="A13" s="22"/>
      <c r="B13" s="229"/>
      <c r="C13" s="229"/>
      <c r="D13" s="22"/>
      <c r="I13" s="22"/>
      <c r="W13" s="22"/>
      <c r="X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52" customFormat="1">
      <c r="A14" s="22"/>
      <c r="B14" s="22"/>
      <c r="C14" s="279"/>
      <c r="D14" s="22"/>
      <c r="I14" s="609" t="s">
        <v>1103</v>
      </c>
      <c r="J14" s="609"/>
      <c r="AM14" s="22"/>
      <c r="AN14" s="195"/>
      <c r="AO14" s="195"/>
      <c r="AP14" s="195"/>
      <c r="AQ14" s="195"/>
      <c r="AR14" s="195"/>
      <c r="AS14" s="22"/>
      <c r="AT14" s="22"/>
      <c r="AU14" s="22"/>
    </row>
    <row r="15" spans="1:47" s="52" customFormat="1">
      <c r="A15" s="22"/>
      <c r="B15" s="22"/>
      <c r="I15" s="400" t="s">
        <v>1101</v>
      </c>
      <c r="J15" s="401" t="s">
        <v>1102</v>
      </c>
      <c r="P15" s="53"/>
      <c r="AM15" s="22"/>
      <c r="AN15" s="22"/>
      <c r="AO15" s="22"/>
      <c r="AP15" s="195"/>
      <c r="AQ15" s="195"/>
      <c r="AR15" s="195"/>
      <c r="AS15" s="22"/>
      <c r="AT15" s="22"/>
      <c r="AU15" s="22"/>
    </row>
    <row r="16" spans="1:47">
      <c r="B16" s="467" t="str">
        <f>HYPERLINK("#B68", "【記入例：B43】ハイパーリンク")</f>
        <v>【記入例：B43】ハイパーリンク</v>
      </c>
      <c r="I16" s="398">
        <v>0.4</v>
      </c>
      <c r="J16" s="398">
        <v>0.4</v>
      </c>
      <c r="AM16" s="14"/>
      <c r="AR16" s="22"/>
    </row>
    <row r="17" spans="2:41">
      <c r="B17" s="610" t="s">
        <v>20</v>
      </c>
      <c r="C17" s="516" t="s">
        <v>22</v>
      </c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115"/>
      <c r="U17" s="104"/>
      <c r="V17" s="105"/>
      <c r="W17" s="518" t="s">
        <v>984</v>
      </c>
      <c r="X17" s="518"/>
      <c r="Y17" s="518"/>
      <c r="Z17" s="518"/>
      <c r="AA17" s="518"/>
      <c r="AB17" s="517"/>
      <c r="AC17" s="104"/>
      <c r="AD17" s="104"/>
      <c r="AE17" s="517"/>
      <c r="AF17" s="104"/>
      <c r="AG17" s="104"/>
      <c r="AH17" s="104"/>
      <c r="AI17" s="115"/>
      <c r="AJ17" s="104"/>
      <c r="AK17" s="105"/>
      <c r="AL17" s="244" t="s">
        <v>31</v>
      </c>
      <c r="AM17" s="245"/>
      <c r="AN17" s="245"/>
      <c r="AO17" s="246"/>
    </row>
    <row r="18" spans="2:41">
      <c r="B18" s="643"/>
      <c r="C18" s="307" t="s">
        <v>944</v>
      </c>
      <c r="D18" s="261"/>
      <c r="E18" s="261"/>
      <c r="F18" s="261"/>
      <c r="G18" s="261"/>
      <c r="H18" s="261"/>
      <c r="I18" s="519" t="s">
        <v>103</v>
      </c>
      <c r="J18" s="262"/>
      <c r="K18" s="520"/>
      <c r="L18" s="520"/>
      <c r="M18" s="520"/>
      <c r="N18" s="521" t="s">
        <v>104</v>
      </c>
      <c r="O18" s="263"/>
      <c r="P18" s="522"/>
      <c r="Q18" s="522"/>
      <c r="R18" s="522"/>
      <c r="S18" s="264" t="s">
        <v>929</v>
      </c>
      <c r="T18" s="265"/>
      <c r="U18" s="265"/>
      <c r="V18" s="266"/>
      <c r="W18" s="261"/>
      <c r="X18" s="261"/>
      <c r="Y18" s="261"/>
      <c r="Z18" s="261"/>
      <c r="AA18" s="261"/>
      <c r="AB18" s="519" t="s">
        <v>103</v>
      </c>
      <c r="AC18" s="520"/>
      <c r="AD18" s="520"/>
      <c r="AE18" s="521" t="s">
        <v>104</v>
      </c>
      <c r="AF18" s="263"/>
      <c r="AG18" s="522"/>
      <c r="AH18" s="264" t="s">
        <v>929</v>
      </c>
      <c r="AI18" s="265"/>
      <c r="AJ18" s="104"/>
      <c r="AK18" s="105"/>
      <c r="AL18" s="247"/>
      <c r="AM18" s="248"/>
      <c r="AN18" s="248"/>
      <c r="AO18" s="249"/>
    </row>
    <row r="19" spans="2:41" ht="54">
      <c r="B19" s="644"/>
      <c r="C19" s="267" t="s">
        <v>945</v>
      </c>
      <c r="D19" s="267" t="s">
        <v>105</v>
      </c>
      <c r="E19" s="267" t="s">
        <v>980</v>
      </c>
      <c r="F19" s="267" t="s">
        <v>913</v>
      </c>
      <c r="G19" s="267" t="s">
        <v>911</v>
      </c>
      <c r="H19" s="267" t="s">
        <v>918</v>
      </c>
      <c r="I19" s="269" t="s">
        <v>757</v>
      </c>
      <c r="J19" s="269" t="s">
        <v>965</v>
      </c>
      <c r="K19" s="269" t="s">
        <v>966</v>
      </c>
      <c r="L19" s="269" t="s">
        <v>758</v>
      </c>
      <c r="M19" s="269" t="s">
        <v>759</v>
      </c>
      <c r="N19" s="268" t="s">
        <v>757</v>
      </c>
      <c r="O19" s="268" t="s">
        <v>967</v>
      </c>
      <c r="P19" s="268" t="s">
        <v>968</v>
      </c>
      <c r="Q19" s="268" t="s">
        <v>758</v>
      </c>
      <c r="R19" s="268" t="s">
        <v>759</v>
      </c>
      <c r="S19" s="267" t="s">
        <v>969</v>
      </c>
      <c r="T19" s="267" t="s">
        <v>116</v>
      </c>
      <c r="U19" s="267" t="s">
        <v>129</v>
      </c>
      <c r="V19" s="267" t="s">
        <v>1117</v>
      </c>
      <c r="W19" s="267" t="s">
        <v>945</v>
      </c>
      <c r="X19" s="267" t="s">
        <v>106</v>
      </c>
      <c r="Y19" s="267" t="s">
        <v>913</v>
      </c>
      <c r="Z19" s="267" t="s">
        <v>911</v>
      </c>
      <c r="AA19" s="267" t="s">
        <v>918</v>
      </c>
      <c r="AB19" s="269" t="s">
        <v>757</v>
      </c>
      <c r="AC19" s="269" t="s">
        <v>970</v>
      </c>
      <c r="AD19" s="269" t="s">
        <v>971</v>
      </c>
      <c r="AE19" s="268" t="s">
        <v>757</v>
      </c>
      <c r="AF19" s="268" t="s">
        <v>972</v>
      </c>
      <c r="AG19" s="268" t="s">
        <v>973</v>
      </c>
      <c r="AH19" s="267" t="s">
        <v>974</v>
      </c>
      <c r="AI19" s="267" t="s">
        <v>117</v>
      </c>
      <c r="AJ19" s="175" t="s">
        <v>41</v>
      </c>
      <c r="AK19" s="175" t="s">
        <v>1117</v>
      </c>
      <c r="AL19" s="176" t="s">
        <v>42</v>
      </c>
      <c r="AM19" s="175" t="s">
        <v>118</v>
      </c>
      <c r="AN19" s="176" t="s">
        <v>43</v>
      </c>
      <c r="AO19" s="175" t="s">
        <v>1049</v>
      </c>
    </row>
    <row r="20" spans="2:41">
      <c r="B20" s="109" t="s">
        <v>21</v>
      </c>
      <c r="C20" s="193"/>
      <c r="D20" s="402" t="s">
        <v>45</v>
      </c>
      <c r="E20" s="402" t="s">
        <v>869</v>
      </c>
      <c r="F20" s="141"/>
      <c r="G20" s="193"/>
      <c r="H20" s="141"/>
      <c r="I20" s="237" t="s">
        <v>228</v>
      </c>
      <c r="J20" s="237" t="s">
        <v>107</v>
      </c>
      <c r="K20" s="237" t="s">
        <v>107</v>
      </c>
      <c r="L20" s="237" t="s">
        <v>867</v>
      </c>
      <c r="M20" s="237" t="s">
        <v>868</v>
      </c>
      <c r="N20" s="238" t="s">
        <v>228</v>
      </c>
      <c r="O20" s="238" t="s">
        <v>107</v>
      </c>
      <c r="P20" s="238" t="s">
        <v>107</v>
      </c>
      <c r="Q20" s="238" t="s">
        <v>867</v>
      </c>
      <c r="R20" s="238" t="s">
        <v>868</v>
      </c>
      <c r="S20" s="402" t="s">
        <v>19</v>
      </c>
      <c r="T20" s="402" t="s">
        <v>111</v>
      </c>
      <c r="U20" s="101" t="s">
        <v>8</v>
      </c>
      <c r="V20" s="101"/>
      <c r="W20" s="193"/>
      <c r="X20" s="402" t="s">
        <v>45</v>
      </c>
      <c r="Y20" s="141"/>
      <c r="Z20" s="141"/>
      <c r="AA20" s="141"/>
      <c r="AB20" s="237" t="s">
        <v>228</v>
      </c>
      <c r="AC20" s="237" t="s">
        <v>107</v>
      </c>
      <c r="AD20" s="237" t="s">
        <v>107</v>
      </c>
      <c r="AE20" s="238" t="s">
        <v>228</v>
      </c>
      <c r="AF20" s="238" t="s">
        <v>107</v>
      </c>
      <c r="AG20" s="238" t="s">
        <v>107</v>
      </c>
      <c r="AH20" s="402" t="s">
        <v>19</v>
      </c>
      <c r="AI20" s="106" t="s">
        <v>111</v>
      </c>
      <c r="AJ20" s="101" t="s">
        <v>8</v>
      </c>
      <c r="AK20" s="101"/>
      <c r="AL20" s="402" t="s">
        <v>19</v>
      </c>
      <c r="AM20" s="106" t="s">
        <v>119</v>
      </c>
      <c r="AN20" s="101" t="s">
        <v>8</v>
      </c>
      <c r="AO20" s="106" t="s">
        <v>865</v>
      </c>
    </row>
    <row r="21" spans="2:41">
      <c r="B21" s="165" t="s">
        <v>16</v>
      </c>
      <c r="C21" s="343"/>
      <c r="D21" s="344">
        <f>SUM(D22:D41)</f>
        <v>0</v>
      </c>
      <c r="E21" s="343"/>
      <c r="F21" s="343"/>
      <c r="G21" s="343"/>
      <c r="H21" s="343"/>
      <c r="I21" s="345">
        <f>SUMPRODUCT($D22:$D41*I22:I41)</f>
        <v>0</v>
      </c>
      <c r="J21" s="345">
        <f>SUMPRODUCT($D22:$D41*J22:J41)</f>
        <v>0</v>
      </c>
      <c r="K21" s="345">
        <f>SUMPRODUCT($D22:$D41*K22:K41)</f>
        <v>0</v>
      </c>
      <c r="L21" s="346"/>
      <c r="M21" s="346"/>
      <c r="N21" s="347">
        <f>SUMPRODUCT($D22:$D41*N22:N41)</f>
        <v>0</v>
      </c>
      <c r="O21" s="348">
        <f>SUMPRODUCT($D22:$D41*O22:O41)</f>
        <v>0</v>
      </c>
      <c r="P21" s="348">
        <f>SUMPRODUCT($D22:$D41*P22:P41)</f>
        <v>0</v>
      </c>
      <c r="Q21" s="346"/>
      <c r="R21" s="346"/>
      <c r="S21" s="349">
        <f>SUM(S22:S41)</f>
        <v>0</v>
      </c>
      <c r="T21" s="350">
        <f>SUM(T22:T41)</f>
        <v>0</v>
      </c>
      <c r="U21" s="351">
        <f>SUM(U22:U41)</f>
        <v>0</v>
      </c>
      <c r="V21" s="351">
        <f>SUM(V22:V41)</f>
        <v>0</v>
      </c>
      <c r="W21" s="343"/>
      <c r="X21" s="344">
        <f>SUM(X22:X41)</f>
        <v>0</v>
      </c>
      <c r="Y21" s="343"/>
      <c r="Z21" s="343"/>
      <c r="AA21" s="344"/>
      <c r="AB21" s="345">
        <f>SUMPRODUCT($X22:$X41*AB22:AB41)</f>
        <v>0</v>
      </c>
      <c r="AC21" s="352">
        <f t="shared" ref="AC21:AG21" si="0">SUMPRODUCT($X22:$X41*AC22:AC41)</f>
        <v>0</v>
      </c>
      <c r="AD21" s="348">
        <f t="shared" si="0"/>
        <v>0</v>
      </c>
      <c r="AE21" s="347">
        <f t="shared" si="0"/>
        <v>0</v>
      </c>
      <c r="AF21" s="352">
        <f t="shared" si="0"/>
        <v>0</v>
      </c>
      <c r="AG21" s="348">
        <f t="shared" si="0"/>
        <v>0</v>
      </c>
      <c r="AH21" s="349">
        <f>SUM(AH22:AH41)</f>
        <v>0</v>
      </c>
      <c r="AI21" s="353">
        <f>SUM(AI22:AI41)</f>
        <v>0</v>
      </c>
      <c r="AJ21" s="351">
        <f t="shared" ref="AJ21:AL21" si="1">SUM(AJ22:AJ41)</f>
        <v>0</v>
      </c>
      <c r="AK21" s="351">
        <f>SUM(AK22:AK41)</f>
        <v>0</v>
      </c>
      <c r="AL21" s="354">
        <f t="shared" si="1"/>
        <v>0</v>
      </c>
      <c r="AM21" s="355">
        <f>SUM(AM22:AM41)</f>
        <v>0</v>
      </c>
      <c r="AN21" s="356">
        <f>SUM(AN22:AN41)</f>
        <v>0</v>
      </c>
      <c r="AO21" s="357">
        <f>SUM(AO22:AO41)</f>
        <v>0</v>
      </c>
    </row>
    <row r="22" spans="2:41">
      <c r="B22" s="109" t="s">
        <v>49</v>
      </c>
      <c r="C22" s="12"/>
      <c r="D22" s="3"/>
      <c r="E22" s="12"/>
      <c r="F22" s="3"/>
      <c r="G22" s="207"/>
      <c r="H22" s="4"/>
      <c r="I22" s="78"/>
      <c r="J22" s="95"/>
      <c r="K22" s="95"/>
      <c r="L22" s="181"/>
      <c r="M22" s="181"/>
      <c r="N22" s="79"/>
      <c r="O22" s="95"/>
      <c r="P22" s="95"/>
      <c r="Q22" s="181"/>
      <c r="R22" s="181"/>
      <c r="S22" s="8">
        <f>空調負荷率!V33+空調負荷率!AL33</f>
        <v>0</v>
      </c>
      <c r="T22" s="26">
        <f>空調負荷率!V56+空調負荷率!AL56</f>
        <v>0</v>
      </c>
      <c r="U22" s="56">
        <f>空調負荷率!E33+空調負荷率!E56</f>
        <v>0</v>
      </c>
      <c r="V22" s="56">
        <f>空調負荷率!F33+空調負荷率!F56</f>
        <v>0</v>
      </c>
      <c r="W22" s="12"/>
      <c r="X22" s="3"/>
      <c r="Y22" s="3"/>
      <c r="Z22" s="4"/>
      <c r="AA22" s="4"/>
      <c r="AB22" s="78"/>
      <c r="AC22" s="85"/>
      <c r="AD22" s="95"/>
      <c r="AE22" s="78"/>
      <c r="AF22" s="85"/>
      <c r="AG22" s="95"/>
      <c r="AH22" s="8">
        <f>空調負荷率!BI33+空調負荷率!BY33</f>
        <v>0</v>
      </c>
      <c r="AI22" s="197">
        <f>空調負荷率!BI56+空調負荷率!BY56</f>
        <v>0</v>
      </c>
      <c r="AJ22" s="56">
        <f>空調負荷率!AQ33+空調負荷率!AQ56</f>
        <v>0</v>
      </c>
      <c r="AK22" s="56">
        <f>空調負荷率!AR33+空調負荷率!AR56</f>
        <v>0</v>
      </c>
      <c r="AL22" s="159">
        <f t="shared" ref="AL22:AL41" si="2">S22-AH22</f>
        <v>0</v>
      </c>
      <c r="AM22" s="151">
        <f t="shared" ref="AM22:AM41" si="3">T22-AI22</f>
        <v>0</v>
      </c>
      <c r="AN22" s="273">
        <f t="shared" ref="AN22:AN41" si="4">U22-AJ22</f>
        <v>0</v>
      </c>
      <c r="AO22" s="273">
        <f t="shared" ref="AO22:AO41" si="5">V22-AK22</f>
        <v>0</v>
      </c>
    </row>
    <row r="23" spans="2:41">
      <c r="B23" s="100" t="s">
        <v>50</v>
      </c>
      <c r="C23" s="12"/>
      <c r="D23" s="3"/>
      <c r="E23" s="12"/>
      <c r="F23" s="3"/>
      <c r="G23" s="207"/>
      <c r="H23" s="4"/>
      <c r="I23" s="78"/>
      <c r="J23" s="95"/>
      <c r="K23" s="95"/>
      <c r="L23" s="181"/>
      <c r="M23" s="181"/>
      <c r="N23" s="79"/>
      <c r="O23" s="95"/>
      <c r="P23" s="95"/>
      <c r="Q23" s="181"/>
      <c r="R23" s="181"/>
      <c r="S23" s="8">
        <f>空調負荷率!V34+空調負荷率!AL34</f>
        <v>0</v>
      </c>
      <c r="T23" s="26">
        <f>空調負荷率!V57+空調負荷率!AL57</f>
        <v>0</v>
      </c>
      <c r="U23" s="56">
        <f>空調負荷率!E34+空調負荷率!E57</f>
        <v>0</v>
      </c>
      <c r="V23" s="56">
        <f>空調負荷率!F34+空調負荷率!F57</f>
        <v>0</v>
      </c>
      <c r="W23" s="12"/>
      <c r="X23" s="3"/>
      <c r="Y23" s="3"/>
      <c r="Z23" s="4"/>
      <c r="AA23" s="4"/>
      <c r="AB23" s="78"/>
      <c r="AC23" s="85"/>
      <c r="AD23" s="95"/>
      <c r="AE23" s="78"/>
      <c r="AF23" s="85"/>
      <c r="AG23" s="95"/>
      <c r="AH23" s="8">
        <f>空調負荷率!BI34+空調負荷率!BY34</f>
        <v>0</v>
      </c>
      <c r="AI23" s="197">
        <f>空調負荷率!BI57+空調負荷率!BY57</f>
        <v>0</v>
      </c>
      <c r="AJ23" s="56">
        <f>空調負荷率!AQ34+空調負荷率!AQ57</f>
        <v>0</v>
      </c>
      <c r="AK23" s="56">
        <f>空調負荷率!AR34+空調負荷率!AR57</f>
        <v>0</v>
      </c>
      <c r="AL23" s="159">
        <f t="shared" si="2"/>
        <v>0</v>
      </c>
      <c r="AM23" s="151">
        <f t="shared" si="3"/>
        <v>0</v>
      </c>
      <c r="AN23" s="273">
        <f t="shared" si="4"/>
        <v>0</v>
      </c>
      <c r="AO23" s="273">
        <f t="shared" si="5"/>
        <v>0</v>
      </c>
    </row>
    <row r="24" spans="2:41">
      <c r="B24" s="100" t="s">
        <v>51</v>
      </c>
      <c r="C24" s="12"/>
      <c r="D24" s="3"/>
      <c r="E24" s="12"/>
      <c r="F24" s="3"/>
      <c r="G24" s="207"/>
      <c r="H24" s="4"/>
      <c r="I24" s="78"/>
      <c r="J24" s="95"/>
      <c r="K24" s="95"/>
      <c r="L24" s="181"/>
      <c r="M24" s="181"/>
      <c r="N24" s="79"/>
      <c r="O24" s="95"/>
      <c r="P24" s="95"/>
      <c r="Q24" s="181"/>
      <c r="R24" s="181"/>
      <c r="S24" s="8">
        <f>空調負荷率!V35+空調負荷率!AL35</f>
        <v>0</v>
      </c>
      <c r="T24" s="26">
        <f>空調負荷率!V58+空調負荷率!AL58</f>
        <v>0</v>
      </c>
      <c r="U24" s="56">
        <f>空調負荷率!E35+空調負荷率!E58</f>
        <v>0</v>
      </c>
      <c r="V24" s="56">
        <f>空調負荷率!F35+空調負荷率!F58</f>
        <v>0</v>
      </c>
      <c r="W24" s="12"/>
      <c r="X24" s="3"/>
      <c r="Y24" s="3"/>
      <c r="Z24" s="4"/>
      <c r="AA24" s="4"/>
      <c r="AB24" s="78"/>
      <c r="AC24" s="85"/>
      <c r="AD24" s="95"/>
      <c r="AE24" s="78"/>
      <c r="AF24" s="85"/>
      <c r="AG24" s="95"/>
      <c r="AH24" s="8">
        <f>空調負荷率!BI35+空調負荷率!BY35</f>
        <v>0</v>
      </c>
      <c r="AI24" s="197">
        <f>空調負荷率!BI58+空調負荷率!BY58</f>
        <v>0</v>
      </c>
      <c r="AJ24" s="56">
        <f>空調負荷率!AQ35+空調負荷率!AQ58</f>
        <v>0</v>
      </c>
      <c r="AK24" s="56">
        <f>空調負荷率!AR35+空調負荷率!AR58</f>
        <v>0</v>
      </c>
      <c r="AL24" s="159">
        <f t="shared" si="2"/>
        <v>0</v>
      </c>
      <c r="AM24" s="151">
        <f t="shared" si="3"/>
        <v>0</v>
      </c>
      <c r="AN24" s="273">
        <f t="shared" si="4"/>
        <v>0</v>
      </c>
      <c r="AO24" s="273">
        <f t="shared" si="5"/>
        <v>0</v>
      </c>
    </row>
    <row r="25" spans="2:41">
      <c r="B25" s="100" t="s">
        <v>52</v>
      </c>
      <c r="C25" s="12"/>
      <c r="D25" s="3"/>
      <c r="E25" s="12"/>
      <c r="F25" s="3"/>
      <c r="G25" s="207"/>
      <c r="H25" s="4"/>
      <c r="I25" s="78"/>
      <c r="J25" s="95"/>
      <c r="K25" s="95"/>
      <c r="L25" s="181"/>
      <c r="M25" s="181"/>
      <c r="N25" s="78"/>
      <c r="O25" s="95"/>
      <c r="P25" s="95"/>
      <c r="Q25" s="181"/>
      <c r="R25" s="181"/>
      <c r="S25" s="8">
        <f>空調負荷率!V36+空調負荷率!AL36</f>
        <v>0</v>
      </c>
      <c r="T25" s="26">
        <f>空調負荷率!V59+空調負荷率!AL59</f>
        <v>0</v>
      </c>
      <c r="U25" s="56">
        <f>空調負荷率!E36+空調負荷率!E59</f>
        <v>0</v>
      </c>
      <c r="V25" s="56">
        <f>空調負荷率!F36+空調負荷率!F59</f>
        <v>0</v>
      </c>
      <c r="W25" s="12"/>
      <c r="X25" s="3"/>
      <c r="Y25" s="3"/>
      <c r="Z25" s="4"/>
      <c r="AA25" s="4"/>
      <c r="AB25" s="78"/>
      <c r="AC25" s="85"/>
      <c r="AD25" s="95"/>
      <c r="AE25" s="78"/>
      <c r="AF25" s="85"/>
      <c r="AG25" s="95"/>
      <c r="AH25" s="8">
        <f>空調負荷率!BI36+空調負荷率!BY36</f>
        <v>0</v>
      </c>
      <c r="AI25" s="197">
        <f>空調負荷率!BI59+空調負荷率!BY59</f>
        <v>0</v>
      </c>
      <c r="AJ25" s="56">
        <f>空調負荷率!AQ36+空調負荷率!AQ59</f>
        <v>0</v>
      </c>
      <c r="AK25" s="56">
        <f>空調負荷率!AR36+空調負荷率!AR59</f>
        <v>0</v>
      </c>
      <c r="AL25" s="159">
        <f t="shared" si="2"/>
        <v>0</v>
      </c>
      <c r="AM25" s="151">
        <f t="shared" si="3"/>
        <v>0</v>
      </c>
      <c r="AN25" s="273">
        <f t="shared" si="4"/>
        <v>0</v>
      </c>
      <c r="AO25" s="273">
        <f t="shared" si="5"/>
        <v>0</v>
      </c>
    </row>
    <row r="26" spans="2:41">
      <c r="B26" s="100" t="s">
        <v>53</v>
      </c>
      <c r="C26" s="12"/>
      <c r="D26" s="3"/>
      <c r="E26" s="12"/>
      <c r="F26" s="3"/>
      <c r="G26" s="207"/>
      <c r="H26" s="4"/>
      <c r="I26" s="78"/>
      <c r="J26" s="95"/>
      <c r="K26" s="95"/>
      <c r="L26" s="181"/>
      <c r="M26" s="181"/>
      <c r="N26" s="78"/>
      <c r="O26" s="95"/>
      <c r="P26" s="95"/>
      <c r="Q26" s="181"/>
      <c r="R26" s="181"/>
      <c r="S26" s="8">
        <f>空調負荷率!V37+空調負荷率!AL37</f>
        <v>0</v>
      </c>
      <c r="T26" s="26">
        <f>空調負荷率!V60+空調負荷率!AL60</f>
        <v>0</v>
      </c>
      <c r="U26" s="56">
        <f>空調負荷率!E37+空調負荷率!E60</f>
        <v>0</v>
      </c>
      <c r="V26" s="56">
        <f>空調負荷率!F37+空調負荷率!F60</f>
        <v>0</v>
      </c>
      <c r="W26" s="12"/>
      <c r="X26" s="3"/>
      <c r="Y26" s="3"/>
      <c r="Z26" s="4"/>
      <c r="AA26" s="4"/>
      <c r="AB26" s="78"/>
      <c r="AC26" s="85"/>
      <c r="AD26" s="95"/>
      <c r="AE26" s="78"/>
      <c r="AF26" s="85"/>
      <c r="AG26" s="95"/>
      <c r="AH26" s="8">
        <f>空調負荷率!BI37+空調負荷率!BY37</f>
        <v>0</v>
      </c>
      <c r="AI26" s="197">
        <f>空調負荷率!BI60+空調負荷率!BY60</f>
        <v>0</v>
      </c>
      <c r="AJ26" s="56">
        <f>空調負荷率!AQ37+空調負荷率!AQ60</f>
        <v>0</v>
      </c>
      <c r="AK26" s="56">
        <f>空調負荷率!AR37+空調負荷率!AR60</f>
        <v>0</v>
      </c>
      <c r="AL26" s="159">
        <f t="shared" si="2"/>
        <v>0</v>
      </c>
      <c r="AM26" s="151">
        <f t="shared" si="3"/>
        <v>0</v>
      </c>
      <c r="AN26" s="273">
        <f t="shared" si="4"/>
        <v>0</v>
      </c>
      <c r="AO26" s="273">
        <f t="shared" si="5"/>
        <v>0</v>
      </c>
    </row>
    <row r="27" spans="2:41">
      <c r="B27" s="100" t="s">
        <v>54</v>
      </c>
      <c r="C27" s="12"/>
      <c r="D27" s="3"/>
      <c r="E27" s="12"/>
      <c r="F27" s="3"/>
      <c r="G27" s="207"/>
      <c r="H27" s="4"/>
      <c r="I27" s="78"/>
      <c r="J27" s="95"/>
      <c r="K27" s="95"/>
      <c r="L27" s="181"/>
      <c r="M27" s="181"/>
      <c r="N27" s="78"/>
      <c r="O27" s="95"/>
      <c r="P27" s="95"/>
      <c r="Q27" s="181"/>
      <c r="R27" s="181"/>
      <c r="S27" s="8">
        <f>空調負荷率!V38+空調負荷率!AL38</f>
        <v>0</v>
      </c>
      <c r="T27" s="26">
        <f>空調負荷率!V61+空調負荷率!AL61</f>
        <v>0</v>
      </c>
      <c r="U27" s="56">
        <f>空調負荷率!E38+空調負荷率!E61</f>
        <v>0</v>
      </c>
      <c r="V27" s="56">
        <f>空調負荷率!F38+空調負荷率!F61</f>
        <v>0</v>
      </c>
      <c r="W27" s="12"/>
      <c r="X27" s="3"/>
      <c r="Y27" s="3"/>
      <c r="Z27" s="4"/>
      <c r="AA27" s="4"/>
      <c r="AB27" s="78"/>
      <c r="AC27" s="85"/>
      <c r="AD27" s="95"/>
      <c r="AE27" s="78"/>
      <c r="AF27" s="85"/>
      <c r="AG27" s="95"/>
      <c r="AH27" s="8">
        <f>空調負荷率!BI38+空調負荷率!BY38</f>
        <v>0</v>
      </c>
      <c r="AI27" s="197">
        <f>空調負荷率!BI61+空調負荷率!BY61</f>
        <v>0</v>
      </c>
      <c r="AJ27" s="56">
        <f>空調負荷率!AQ38+空調負荷率!AQ61</f>
        <v>0</v>
      </c>
      <c r="AK27" s="56">
        <f>空調負荷率!AR38+空調負荷率!AR61</f>
        <v>0</v>
      </c>
      <c r="AL27" s="159">
        <f t="shared" si="2"/>
        <v>0</v>
      </c>
      <c r="AM27" s="151">
        <f t="shared" si="3"/>
        <v>0</v>
      </c>
      <c r="AN27" s="273">
        <f t="shared" si="4"/>
        <v>0</v>
      </c>
      <c r="AO27" s="273">
        <f t="shared" si="5"/>
        <v>0</v>
      </c>
    </row>
    <row r="28" spans="2:41">
      <c r="B28" s="100" t="s">
        <v>55</v>
      </c>
      <c r="C28" s="12"/>
      <c r="D28" s="3"/>
      <c r="E28" s="12"/>
      <c r="F28" s="3"/>
      <c r="G28" s="207"/>
      <c r="H28" s="4"/>
      <c r="I28" s="78"/>
      <c r="J28" s="95"/>
      <c r="K28" s="95"/>
      <c r="L28" s="181"/>
      <c r="M28" s="181"/>
      <c r="N28" s="78"/>
      <c r="O28" s="95"/>
      <c r="P28" s="95"/>
      <c r="Q28" s="181"/>
      <c r="R28" s="181"/>
      <c r="S28" s="8">
        <f>空調負荷率!V39+空調負荷率!AL39</f>
        <v>0</v>
      </c>
      <c r="T28" s="26">
        <f>空調負荷率!V62+空調負荷率!AL62</f>
        <v>0</v>
      </c>
      <c r="U28" s="56">
        <f>空調負荷率!E39+空調負荷率!E62</f>
        <v>0</v>
      </c>
      <c r="V28" s="56">
        <f>空調負荷率!F39+空調負荷率!F62</f>
        <v>0</v>
      </c>
      <c r="W28" s="12"/>
      <c r="X28" s="3"/>
      <c r="Y28" s="3"/>
      <c r="Z28" s="4"/>
      <c r="AA28" s="4"/>
      <c r="AB28" s="78"/>
      <c r="AC28" s="85"/>
      <c r="AD28" s="95"/>
      <c r="AE28" s="78"/>
      <c r="AF28" s="85"/>
      <c r="AG28" s="95"/>
      <c r="AH28" s="8">
        <f>空調負荷率!BI39+空調負荷率!BY39</f>
        <v>0</v>
      </c>
      <c r="AI28" s="197">
        <f>空調負荷率!BI62+空調負荷率!BY62</f>
        <v>0</v>
      </c>
      <c r="AJ28" s="56">
        <f>空調負荷率!AQ39+空調負荷率!AQ62</f>
        <v>0</v>
      </c>
      <c r="AK28" s="56">
        <f>空調負荷率!AR39+空調負荷率!AR62</f>
        <v>0</v>
      </c>
      <c r="AL28" s="159">
        <f t="shared" si="2"/>
        <v>0</v>
      </c>
      <c r="AM28" s="151">
        <f t="shared" si="3"/>
        <v>0</v>
      </c>
      <c r="AN28" s="273">
        <f t="shared" si="4"/>
        <v>0</v>
      </c>
      <c r="AO28" s="273">
        <f t="shared" si="5"/>
        <v>0</v>
      </c>
    </row>
    <row r="29" spans="2:41">
      <c r="B29" s="100" t="s">
        <v>56</v>
      </c>
      <c r="C29" s="12"/>
      <c r="D29" s="3"/>
      <c r="E29" s="12"/>
      <c r="F29" s="3"/>
      <c r="G29" s="207"/>
      <c r="H29" s="4"/>
      <c r="I29" s="78"/>
      <c r="J29" s="95"/>
      <c r="K29" s="95"/>
      <c r="L29" s="181"/>
      <c r="M29" s="181"/>
      <c r="N29" s="78"/>
      <c r="O29" s="95"/>
      <c r="P29" s="95"/>
      <c r="Q29" s="181"/>
      <c r="R29" s="181"/>
      <c r="S29" s="8">
        <f>空調負荷率!V40+空調負荷率!AL40</f>
        <v>0</v>
      </c>
      <c r="T29" s="26">
        <f>空調負荷率!V63+空調負荷率!AL63</f>
        <v>0</v>
      </c>
      <c r="U29" s="56">
        <f>空調負荷率!E40+空調負荷率!E63</f>
        <v>0</v>
      </c>
      <c r="V29" s="56">
        <f>空調負荷率!F40+空調負荷率!F63</f>
        <v>0</v>
      </c>
      <c r="W29" s="12"/>
      <c r="X29" s="3"/>
      <c r="Y29" s="3"/>
      <c r="Z29" s="4"/>
      <c r="AA29" s="4"/>
      <c r="AB29" s="78"/>
      <c r="AC29" s="85"/>
      <c r="AD29" s="95"/>
      <c r="AE29" s="78"/>
      <c r="AF29" s="85"/>
      <c r="AG29" s="95"/>
      <c r="AH29" s="8">
        <f>空調負荷率!BI40+空調負荷率!BY40</f>
        <v>0</v>
      </c>
      <c r="AI29" s="197">
        <f>空調負荷率!BI63+空調負荷率!BY63</f>
        <v>0</v>
      </c>
      <c r="AJ29" s="56">
        <f>空調負荷率!AQ40+空調負荷率!AQ63</f>
        <v>0</v>
      </c>
      <c r="AK29" s="56">
        <f>空調負荷率!AR40+空調負荷率!AR63</f>
        <v>0</v>
      </c>
      <c r="AL29" s="159">
        <f t="shared" si="2"/>
        <v>0</v>
      </c>
      <c r="AM29" s="151">
        <f t="shared" si="3"/>
        <v>0</v>
      </c>
      <c r="AN29" s="273">
        <f t="shared" si="4"/>
        <v>0</v>
      </c>
      <c r="AO29" s="273">
        <f t="shared" si="5"/>
        <v>0</v>
      </c>
    </row>
    <row r="30" spans="2:41">
      <c r="B30" s="100" t="s">
        <v>57</v>
      </c>
      <c r="C30" s="12"/>
      <c r="D30" s="3"/>
      <c r="E30" s="12"/>
      <c r="F30" s="3"/>
      <c r="G30" s="207"/>
      <c r="H30" s="4"/>
      <c r="I30" s="78"/>
      <c r="J30" s="95"/>
      <c r="K30" s="95"/>
      <c r="L30" s="181"/>
      <c r="M30" s="181"/>
      <c r="N30" s="78"/>
      <c r="O30" s="95"/>
      <c r="P30" s="95"/>
      <c r="Q30" s="181"/>
      <c r="R30" s="181"/>
      <c r="S30" s="8">
        <f>空調負荷率!V41+空調負荷率!AL41</f>
        <v>0</v>
      </c>
      <c r="T30" s="26">
        <f>空調負荷率!V64+空調負荷率!AL64</f>
        <v>0</v>
      </c>
      <c r="U30" s="56">
        <f>空調負荷率!E41+空調負荷率!E64</f>
        <v>0</v>
      </c>
      <c r="V30" s="56">
        <f>空調負荷率!F41+空調負荷率!F64</f>
        <v>0</v>
      </c>
      <c r="W30" s="12"/>
      <c r="X30" s="3"/>
      <c r="Y30" s="3"/>
      <c r="Z30" s="4"/>
      <c r="AA30" s="4"/>
      <c r="AB30" s="78"/>
      <c r="AC30" s="85"/>
      <c r="AD30" s="95"/>
      <c r="AE30" s="78"/>
      <c r="AF30" s="85"/>
      <c r="AG30" s="95"/>
      <c r="AH30" s="8">
        <f>空調負荷率!BI41+空調負荷率!BY41</f>
        <v>0</v>
      </c>
      <c r="AI30" s="197">
        <f>空調負荷率!BI64+空調負荷率!BY64</f>
        <v>0</v>
      </c>
      <c r="AJ30" s="56">
        <f>空調負荷率!AQ41+空調負荷率!AQ64</f>
        <v>0</v>
      </c>
      <c r="AK30" s="56">
        <f>空調負荷率!AR41+空調負荷率!AR64</f>
        <v>0</v>
      </c>
      <c r="AL30" s="159">
        <f t="shared" si="2"/>
        <v>0</v>
      </c>
      <c r="AM30" s="151">
        <f t="shared" si="3"/>
        <v>0</v>
      </c>
      <c r="AN30" s="273">
        <f t="shared" si="4"/>
        <v>0</v>
      </c>
      <c r="AO30" s="273">
        <f t="shared" si="5"/>
        <v>0</v>
      </c>
    </row>
    <row r="31" spans="2:41">
      <c r="B31" s="100" t="s">
        <v>58</v>
      </c>
      <c r="C31" s="12"/>
      <c r="D31" s="3"/>
      <c r="E31" s="12"/>
      <c r="F31" s="3"/>
      <c r="G31" s="207"/>
      <c r="H31" s="4"/>
      <c r="I31" s="78"/>
      <c r="J31" s="95"/>
      <c r="K31" s="95"/>
      <c r="L31" s="181"/>
      <c r="M31" s="181"/>
      <c r="N31" s="78"/>
      <c r="O31" s="95"/>
      <c r="P31" s="95"/>
      <c r="Q31" s="181"/>
      <c r="R31" s="181"/>
      <c r="S31" s="8">
        <f>空調負荷率!V42+空調負荷率!AL42</f>
        <v>0</v>
      </c>
      <c r="T31" s="26">
        <f>空調負荷率!V65+空調負荷率!AL65</f>
        <v>0</v>
      </c>
      <c r="U31" s="56">
        <f>空調負荷率!E42+空調負荷率!E65</f>
        <v>0</v>
      </c>
      <c r="V31" s="56">
        <f>空調負荷率!F42+空調負荷率!F65</f>
        <v>0</v>
      </c>
      <c r="W31" s="12"/>
      <c r="X31" s="3"/>
      <c r="Y31" s="3"/>
      <c r="Z31" s="4"/>
      <c r="AA31" s="4"/>
      <c r="AB31" s="78"/>
      <c r="AC31" s="85"/>
      <c r="AD31" s="95"/>
      <c r="AE31" s="78"/>
      <c r="AF31" s="85"/>
      <c r="AG31" s="95"/>
      <c r="AH31" s="8">
        <f>空調負荷率!BI42+空調負荷率!BY42</f>
        <v>0</v>
      </c>
      <c r="AI31" s="197">
        <f>空調負荷率!BI65+空調負荷率!BY65</f>
        <v>0</v>
      </c>
      <c r="AJ31" s="56">
        <f>空調負荷率!AQ42+空調負荷率!AQ65</f>
        <v>0</v>
      </c>
      <c r="AK31" s="56">
        <f>空調負荷率!AR42+空調負荷率!AR65</f>
        <v>0</v>
      </c>
      <c r="AL31" s="159">
        <f t="shared" si="2"/>
        <v>0</v>
      </c>
      <c r="AM31" s="151">
        <f t="shared" si="3"/>
        <v>0</v>
      </c>
      <c r="AN31" s="273">
        <f t="shared" si="4"/>
        <v>0</v>
      </c>
      <c r="AO31" s="273">
        <f t="shared" si="5"/>
        <v>0</v>
      </c>
    </row>
    <row r="32" spans="2:41">
      <c r="B32" s="100" t="s">
        <v>59</v>
      </c>
      <c r="C32" s="12"/>
      <c r="D32" s="3"/>
      <c r="E32" s="12"/>
      <c r="F32" s="3"/>
      <c r="G32" s="207"/>
      <c r="H32" s="4"/>
      <c r="I32" s="78"/>
      <c r="J32" s="95"/>
      <c r="K32" s="95"/>
      <c r="L32" s="181"/>
      <c r="M32" s="181"/>
      <c r="N32" s="78"/>
      <c r="O32" s="95"/>
      <c r="P32" s="95"/>
      <c r="Q32" s="181"/>
      <c r="R32" s="181"/>
      <c r="S32" s="8">
        <f>空調負荷率!V43+空調負荷率!AL43</f>
        <v>0</v>
      </c>
      <c r="T32" s="26">
        <f>空調負荷率!V66+空調負荷率!AL66</f>
        <v>0</v>
      </c>
      <c r="U32" s="56">
        <f>空調負荷率!E43+空調負荷率!E66</f>
        <v>0</v>
      </c>
      <c r="V32" s="56">
        <f>空調負荷率!F43+空調負荷率!F66</f>
        <v>0</v>
      </c>
      <c r="W32" s="12"/>
      <c r="X32" s="3"/>
      <c r="Y32" s="3"/>
      <c r="Z32" s="4"/>
      <c r="AA32" s="4"/>
      <c r="AB32" s="78"/>
      <c r="AC32" s="85"/>
      <c r="AD32" s="95"/>
      <c r="AE32" s="78"/>
      <c r="AF32" s="85"/>
      <c r="AG32" s="95"/>
      <c r="AH32" s="8">
        <f>空調負荷率!BI43+空調負荷率!BY43</f>
        <v>0</v>
      </c>
      <c r="AI32" s="197">
        <f>空調負荷率!BI66+空調負荷率!BY66</f>
        <v>0</v>
      </c>
      <c r="AJ32" s="56">
        <f>空調負荷率!AQ43+空調負荷率!AQ66</f>
        <v>0</v>
      </c>
      <c r="AK32" s="56">
        <f>空調負荷率!AR43+空調負荷率!AR66</f>
        <v>0</v>
      </c>
      <c r="AL32" s="159">
        <f t="shared" si="2"/>
        <v>0</v>
      </c>
      <c r="AM32" s="151">
        <f t="shared" si="3"/>
        <v>0</v>
      </c>
      <c r="AN32" s="273">
        <f t="shared" si="4"/>
        <v>0</v>
      </c>
      <c r="AO32" s="273">
        <f t="shared" si="5"/>
        <v>0</v>
      </c>
    </row>
    <row r="33" spans="1:44">
      <c r="B33" s="100" t="s">
        <v>60</v>
      </c>
      <c r="C33" s="12"/>
      <c r="D33" s="3"/>
      <c r="E33" s="12"/>
      <c r="F33" s="3"/>
      <c r="G33" s="207"/>
      <c r="H33" s="4"/>
      <c r="I33" s="78"/>
      <c r="J33" s="95"/>
      <c r="K33" s="95"/>
      <c r="L33" s="181"/>
      <c r="M33" s="181"/>
      <c r="N33" s="78"/>
      <c r="O33" s="95"/>
      <c r="P33" s="95"/>
      <c r="Q33" s="181"/>
      <c r="R33" s="181"/>
      <c r="S33" s="8">
        <f>空調負荷率!V44+空調負荷率!AL44</f>
        <v>0</v>
      </c>
      <c r="T33" s="26">
        <f>空調負荷率!V67+空調負荷率!AL67</f>
        <v>0</v>
      </c>
      <c r="U33" s="56">
        <f>空調負荷率!E44+空調負荷率!E67</f>
        <v>0</v>
      </c>
      <c r="V33" s="56">
        <f>空調負荷率!F44+空調負荷率!F67</f>
        <v>0</v>
      </c>
      <c r="W33" s="12"/>
      <c r="X33" s="3"/>
      <c r="Y33" s="3"/>
      <c r="Z33" s="4"/>
      <c r="AA33" s="4"/>
      <c r="AB33" s="78"/>
      <c r="AC33" s="85"/>
      <c r="AD33" s="95"/>
      <c r="AE33" s="78"/>
      <c r="AF33" s="85"/>
      <c r="AG33" s="95"/>
      <c r="AH33" s="8">
        <f>空調負荷率!BI44+空調負荷率!BY44</f>
        <v>0</v>
      </c>
      <c r="AI33" s="197">
        <f>空調負荷率!BI67+空調負荷率!BY67</f>
        <v>0</v>
      </c>
      <c r="AJ33" s="56">
        <f>空調負荷率!AQ44+空調負荷率!AQ67</f>
        <v>0</v>
      </c>
      <c r="AK33" s="56">
        <f>空調負荷率!AR44+空調負荷率!AR67</f>
        <v>0</v>
      </c>
      <c r="AL33" s="159">
        <f t="shared" si="2"/>
        <v>0</v>
      </c>
      <c r="AM33" s="151">
        <f t="shared" si="3"/>
        <v>0</v>
      </c>
      <c r="AN33" s="273">
        <f t="shared" si="4"/>
        <v>0</v>
      </c>
      <c r="AO33" s="273">
        <f t="shared" si="5"/>
        <v>0</v>
      </c>
    </row>
    <row r="34" spans="1:44">
      <c r="B34" s="100" t="s">
        <v>61</v>
      </c>
      <c r="C34" s="12"/>
      <c r="D34" s="3"/>
      <c r="E34" s="12"/>
      <c r="F34" s="3"/>
      <c r="G34" s="207"/>
      <c r="H34" s="4"/>
      <c r="I34" s="78"/>
      <c r="J34" s="95"/>
      <c r="K34" s="95"/>
      <c r="L34" s="181"/>
      <c r="M34" s="181"/>
      <c r="N34" s="78"/>
      <c r="O34" s="95"/>
      <c r="P34" s="95"/>
      <c r="Q34" s="181"/>
      <c r="R34" s="181"/>
      <c r="S34" s="8">
        <f>空調負荷率!V45+空調負荷率!AL45</f>
        <v>0</v>
      </c>
      <c r="T34" s="26">
        <f>空調負荷率!V68+空調負荷率!AL68</f>
        <v>0</v>
      </c>
      <c r="U34" s="56">
        <f>空調負荷率!E45+空調負荷率!E68</f>
        <v>0</v>
      </c>
      <c r="V34" s="56">
        <f>空調負荷率!F45+空調負荷率!F68</f>
        <v>0</v>
      </c>
      <c r="W34" s="12"/>
      <c r="X34" s="3"/>
      <c r="Y34" s="3"/>
      <c r="Z34" s="4"/>
      <c r="AA34" s="4"/>
      <c r="AB34" s="78"/>
      <c r="AC34" s="85"/>
      <c r="AD34" s="95"/>
      <c r="AE34" s="78"/>
      <c r="AF34" s="85"/>
      <c r="AG34" s="95"/>
      <c r="AH34" s="8">
        <f>空調負荷率!BI45+空調負荷率!BY45</f>
        <v>0</v>
      </c>
      <c r="AI34" s="197">
        <f>空調負荷率!BI68+空調負荷率!BY68</f>
        <v>0</v>
      </c>
      <c r="AJ34" s="56">
        <f>空調負荷率!AQ45+空調負荷率!AQ68</f>
        <v>0</v>
      </c>
      <c r="AK34" s="56">
        <f>空調負荷率!AR45+空調負荷率!AR68</f>
        <v>0</v>
      </c>
      <c r="AL34" s="159">
        <f t="shared" si="2"/>
        <v>0</v>
      </c>
      <c r="AM34" s="151">
        <f t="shared" si="3"/>
        <v>0</v>
      </c>
      <c r="AN34" s="273">
        <f t="shared" si="4"/>
        <v>0</v>
      </c>
      <c r="AO34" s="273">
        <f t="shared" si="5"/>
        <v>0</v>
      </c>
    </row>
    <row r="35" spans="1:44">
      <c r="B35" s="100" t="s">
        <v>62</v>
      </c>
      <c r="C35" s="12"/>
      <c r="D35" s="3"/>
      <c r="E35" s="12"/>
      <c r="F35" s="3"/>
      <c r="G35" s="207"/>
      <c r="H35" s="4"/>
      <c r="I35" s="78"/>
      <c r="J35" s="95"/>
      <c r="K35" s="95"/>
      <c r="L35" s="181"/>
      <c r="M35" s="181"/>
      <c r="N35" s="78"/>
      <c r="O35" s="95"/>
      <c r="P35" s="95"/>
      <c r="Q35" s="181"/>
      <c r="R35" s="181"/>
      <c r="S35" s="8">
        <f>空調負荷率!V46+空調負荷率!AL46</f>
        <v>0</v>
      </c>
      <c r="T35" s="26">
        <f>空調負荷率!V69+空調負荷率!AL69</f>
        <v>0</v>
      </c>
      <c r="U35" s="56">
        <f>空調負荷率!E46+空調負荷率!E69</f>
        <v>0</v>
      </c>
      <c r="V35" s="56">
        <f>空調負荷率!F46+空調負荷率!F69</f>
        <v>0</v>
      </c>
      <c r="W35" s="12"/>
      <c r="X35" s="3"/>
      <c r="Y35" s="3"/>
      <c r="Z35" s="4"/>
      <c r="AA35" s="4"/>
      <c r="AB35" s="78"/>
      <c r="AC35" s="85"/>
      <c r="AD35" s="95"/>
      <c r="AE35" s="78"/>
      <c r="AF35" s="85"/>
      <c r="AG35" s="95"/>
      <c r="AH35" s="8">
        <f>空調負荷率!BI46+空調負荷率!BY46</f>
        <v>0</v>
      </c>
      <c r="AI35" s="197">
        <f>空調負荷率!BI69+空調負荷率!BY69</f>
        <v>0</v>
      </c>
      <c r="AJ35" s="56">
        <f>空調負荷率!AQ46+空調負荷率!AQ69</f>
        <v>0</v>
      </c>
      <c r="AK35" s="56">
        <f>空調負荷率!AR46+空調負荷率!AR69</f>
        <v>0</v>
      </c>
      <c r="AL35" s="159">
        <f t="shared" si="2"/>
        <v>0</v>
      </c>
      <c r="AM35" s="151">
        <f t="shared" si="3"/>
        <v>0</v>
      </c>
      <c r="AN35" s="273">
        <f t="shared" si="4"/>
        <v>0</v>
      </c>
      <c r="AO35" s="273">
        <f t="shared" si="5"/>
        <v>0</v>
      </c>
    </row>
    <row r="36" spans="1:44">
      <c r="B36" s="100" t="s">
        <v>63</v>
      </c>
      <c r="C36" s="12"/>
      <c r="D36" s="3"/>
      <c r="E36" s="12"/>
      <c r="F36" s="3"/>
      <c r="G36" s="207"/>
      <c r="H36" s="4"/>
      <c r="I36" s="78"/>
      <c r="J36" s="95"/>
      <c r="K36" s="95"/>
      <c r="L36" s="181"/>
      <c r="M36" s="181"/>
      <c r="N36" s="78"/>
      <c r="O36" s="95"/>
      <c r="P36" s="95"/>
      <c r="Q36" s="181"/>
      <c r="R36" s="181"/>
      <c r="S36" s="8">
        <f>空調負荷率!V47+空調負荷率!AL47</f>
        <v>0</v>
      </c>
      <c r="T36" s="26">
        <f>空調負荷率!V70+空調負荷率!AL70</f>
        <v>0</v>
      </c>
      <c r="U36" s="56">
        <f>空調負荷率!E47+空調負荷率!E70</f>
        <v>0</v>
      </c>
      <c r="V36" s="56">
        <f>空調負荷率!F47+空調負荷率!F70</f>
        <v>0</v>
      </c>
      <c r="W36" s="12"/>
      <c r="X36" s="3"/>
      <c r="Y36" s="3"/>
      <c r="Z36" s="4"/>
      <c r="AA36" s="4"/>
      <c r="AB36" s="78"/>
      <c r="AC36" s="85"/>
      <c r="AD36" s="95"/>
      <c r="AE36" s="78"/>
      <c r="AF36" s="85"/>
      <c r="AG36" s="95"/>
      <c r="AH36" s="8">
        <f>空調負荷率!BI47+空調負荷率!BY47</f>
        <v>0</v>
      </c>
      <c r="AI36" s="197">
        <f>空調負荷率!BI70+空調負荷率!BY70</f>
        <v>0</v>
      </c>
      <c r="AJ36" s="56">
        <f>空調負荷率!AQ47+空調負荷率!AQ70</f>
        <v>0</v>
      </c>
      <c r="AK36" s="56">
        <f>空調負荷率!AR47+空調負荷率!AR70</f>
        <v>0</v>
      </c>
      <c r="AL36" s="159">
        <f t="shared" si="2"/>
        <v>0</v>
      </c>
      <c r="AM36" s="151">
        <f t="shared" si="3"/>
        <v>0</v>
      </c>
      <c r="AN36" s="273">
        <f t="shared" si="4"/>
        <v>0</v>
      </c>
      <c r="AO36" s="273">
        <f t="shared" si="5"/>
        <v>0</v>
      </c>
    </row>
    <row r="37" spans="1:44">
      <c r="B37" s="100" t="s">
        <v>64</v>
      </c>
      <c r="C37" s="12"/>
      <c r="D37" s="3"/>
      <c r="E37" s="12"/>
      <c r="F37" s="3"/>
      <c r="G37" s="207"/>
      <c r="H37" s="4"/>
      <c r="I37" s="78"/>
      <c r="J37" s="95"/>
      <c r="K37" s="95"/>
      <c r="L37" s="181"/>
      <c r="M37" s="181"/>
      <c r="N37" s="78"/>
      <c r="O37" s="95"/>
      <c r="P37" s="95"/>
      <c r="Q37" s="181"/>
      <c r="R37" s="181"/>
      <c r="S37" s="8">
        <f>空調負荷率!V48+空調負荷率!AL48</f>
        <v>0</v>
      </c>
      <c r="T37" s="26">
        <f>空調負荷率!V71+空調負荷率!AL71</f>
        <v>0</v>
      </c>
      <c r="U37" s="56">
        <f>空調負荷率!E48+空調負荷率!E71</f>
        <v>0</v>
      </c>
      <c r="V37" s="56">
        <f>空調負荷率!F48+空調負荷率!F71</f>
        <v>0</v>
      </c>
      <c r="W37" s="12"/>
      <c r="X37" s="3"/>
      <c r="Y37" s="3"/>
      <c r="Z37" s="4"/>
      <c r="AA37" s="4"/>
      <c r="AB37" s="78"/>
      <c r="AC37" s="85"/>
      <c r="AD37" s="95"/>
      <c r="AE37" s="78"/>
      <c r="AF37" s="85"/>
      <c r="AG37" s="95"/>
      <c r="AH37" s="8">
        <f>空調負荷率!BI48+空調負荷率!BY48</f>
        <v>0</v>
      </c>
      <c r="AI37" s="197">
        <f>空調負荷率!BI71+空調負荷率!BY71</f>
        <v>0</v>
      </c>
      <c r="AJ37" s="56">
        <f>空調負荷率!AQ48+空調負荷率!AQ71</f>
        <v>0</v>
      </c>
      <c r="AK37" s="56">
        <f>空調負荷率!AR48+空調負荷率!AR71</f>
        <v>0</v>
      </c>
      <c r="AL37" s="159">
        <f t="shared" si="2"/>
        <v>0</v>
      </c>
      <c r="AM37" s="151">
        <f t="shared" si="3"/>
        <v>0</v>
      </c>
      <c r="AN37" s="273">
        <f t="shared" si="4"/>
        <v>0</v>
      </c>
      <c r="AO37" s="273">
        <f t="shared" si="5"/>
        <v>0</v>
      </c>
    </row>
    <row r="38" spans="1:44">
      <c r="B38" s="100" t="s">
        <v>65</v>
      </c>
      <c r="C38" s="12"/>
      <c r="D38" s="3"/>
      <c r="E38" s="12"/>
      <c r="F38" s="3"/>
      <c r="G38" s="207"/>
      <c r="H38" s="4"/>
      <c r="I38" s="78"/>
      <c r="J38" s="95"/>
      <c r="K38" s="95"/>
      <c r="L38" s="181"/>
      <c r="M38" s="181"/>
      <c r="N38" s="78"/>
      <c r="O38" s="95"/>
      <c r="P38" s="95"/>
      <c r="Q38" s="181"/>
      <c r="R38" s="181"/>
      <c r="S38" s="8">
        <f>空調負荷率!V49+空調負荷率!AL49</f>
        <v>0</v>
      </c>
      <c r="T38" s="26">
        <f>空調負荷率!V72+空調負荷率!AL72</f>
        <v>0</v>
      </c>
      <c r="U38" s="56">
        <f>空調負荷率!E49+空調負荷率!E72</f>
        <v>0</v>
      </c>
      <c r="V38" s="56">
        <f>空調負荷率!F49+空調負荷率!F72</f>
        <v>0</v>
      </c>
      <c r="W38" s="12"/>
      <c r="X38" s="3"/>
      <c r="Y38" s="3"/>
      <c r="Z38" s="4"/>
      <c r="AA38" s="4"/>
      <c r="AB38" s="78"/>
      <c r="AC38" s="85"/>
      <c r="AD38" s="95"/>
      <c r="AE38" s="78"/>
      <c r="AF38" s="85"/>
      <c r="AG38" s="95"/>
      <c r="AH38" s="8">
        <f>空調負荷率!BI49+空調負荷率!BY49</f>
        <v>0</v>
      </c>
      <c r="AI38" s="197">
        <f>空調負荷率!BI72+空調負荷率!BY72</f>
        <v>0</v>
      </c>
      <c r="AJ38" s="56">
        <f>空調負荷率!AQ49+空調負荷率!AQ72</f>
        <v>0</v>
      </c>
      <c r="AK38" s="56">
        <f>空調負荷率!AR49+空調負荷率!AR72</f>
        <v>0</v>
      </c>
      <c r="AL38" s="159">
        <f t="shared" si="2"/>
        <v>0</v>
      </c>
      <c r="AM38" s="151">
        <f t="shared" si="3"/>
        <v>0</v>
      </c>
      <c r="AN38" s="273">
        <f t="shared" si="4"/>
        <v>0</v>
      </c>
      <c r="AO38" s="273">
        <f t="shared" si="5"/>
        <v>0</v>
      </c>
    </row>
    <row r="39" spans="1:44">
      <c r="B39" s="100" t="s">
        <v>66</v>
      </c>
      <c r="C39" s="12"/>
      <c r="D39" s="3"/>
      <c r="E39" s="12"/>
      <c r="F39" s="3"/>
      <c r="G39" s="207"/>
      <c r="H39" s="4"/>
      <c r="I39" s="78"/>
      <c r="J39" s="95"/>
      <c r="K39" s="95"/>
      <c r="L39" s="181"/>
      <c r="M39" s="181"/>
      <c r="N39" s="78"/>
      <c r="O39" s="95"/>
      <c r="P39" s="95"/>
      <c r="Q39" s="181"/>
      <c r="R39" s="181"/>
      <c r="S39" s="8">
        <f>空調負荷率!V50+空調負荷率!AL50</f>
        <v>0</v>
      </c>
      <c r="T39" s="26">
        <f>空調負荷率!V73+空調負荷率!AL73</f>
        <v>0</v>
      </c>
      <c r="U39" s="56">
        <f>空調負荷率!E50+空調負荷率!E73</f>
        <v>0</v>
      </c>
      <c r="V39" s="56">
        <f>空調負荷率!F50+空調負荷率!F73</f>
        <v>0</v>
      </c>
      <c r="W39" s="12"/>
      <c r="X39" s="3"/>
      <c r="Y39" s="3"/>
      <c r="Z39" s="4"/>
      <c r="AA39" s="4"/>
      <c r="AB39" s="78"/>
      <c r="AC39" s="85"/>
      <c r="AD39" s="95"/>
      <c r="AE39" s="78"/>
      <c r="AF39" s="85"/>
      <c r="AG39" s="95"/>
      <c r="AH39" s="8">
        <f>空調負荷率!BI50+空調負荷率!BY50</f>
        <v>0</v>
      </c>
      <c r="AI39" s="197">
        <f>空調負荷率!BI73+空調負荷率!BY73</f>
        <v>0</v>
      </c>
      <c r="AJ39" s="56">
        <f>空調負荷率!AQ50+空調負荷率!AQ73</f>
        <v>0</v>
      </c>
      <c r="AK39" s="56">
        <f>空調負荷率!AR50+空調負荷率!AR73</f>
        <v>0</v>
      </c>
      <c r="AL39" s="159">
        <f t="shared" si="2"/>
        <v>0</v>
      </c>
      <c r="AM39" s="151">
        <f t="shared" si="3"/>
        <v>0</v>
      </c>
      <c r="AN39" s="273">
        <f t="shared" si="4"/>
        <v>0</v>
      </c>
      <c r="AO39" s="273">
        <f t="shared" si="5"/>
        <v>0</v>
      </c>
    </row>
    <row r="40" spans="1:44">
      <c r="B40" s="100" t="s">
        <v>67</v>
      </c>
      <c r="C40" s="12"/>
      <c r="D40" s="3"/>
      <c r="E40" s="12"/>
      <c r="F40" s="3"/>
      <c r="G40" s="207"/>
      <c r="H40" s="4"/>
      <c r="I40" s="78"/>
      <c r="J40" s="95"/>
      <c r="K40" s="95"/>
      <c r="L40" s="181"/>
      <c r="M40" s="181"/>
      <c r="N40" s="78"/>
      <c r="O40" s="95"/>
      <c r="P40" s="95"/>
      <c r="Q40" s="181"/>
      <c r="R40" s="181"/>
      <c r="S40" s="8">
        <f>空調負荷率!V51+空調負荷率!AL51</f>
        <v>0</v>
      </c>
      <c r="T40" s="26">
        <f>空調負荷率!V74+空調負荷率!AL74</f>
        <v>0</v>
      </c>
      <c r="U40" s="56">
        <f>空調負荷率!E51+空調負荷率!E74</f>
        <v>0</v>
      </c>
      <c r="V40" s="56">
        <f>空調負荷率!F51+空調負荷率!F74</f>
        <v>0</v>
      </c>
      <c r="W40" s="12"/>
      <c r="X40" s="3"/>
      <c r="Y40" s="3"/>
      <c r="Z40" s="4"/>
      <c r="AA40" s="4"/>
      <c r="AB40" s="78"/>
      <c r="AC40" s="85"/>
      <c r="AD40" s="95"/>
      <c r="AE40" s="78"/>
      <c r="AF40" s="85"/>
      <c r="AG40" s="95"/>
      <c r="AH40" s="8">
        <f>空調負荷率!BI51+空調負荷率!BY51</f>
        <v>0</v>
      </c>
      <c r="AI40" s="197">
        <f>空調負荷率!BI74+空調負荷率!BY74</f>
        <v>0</v>
      </c>
      <c r="AJ40" s="56">
        <f>空調負荷率!AQ51+空調負荷率!AQ74</f>
        <v>0</v>
      </c>
      <c r="AK40" s="56">
        <f>空調負荷率!AR51+空調負荷率!AR74</f>
        <v>0</v>
      </c>
      <c r="AL40" s="159">
        <f t="shared" si="2"/>
        <v>0</v>
      </c>
      <c r="AM40" s="151">
        <f t="shared" si="3"/>
        <v>0</v>
      </c>
      <c r="AN40" s="273">
        <f t="shared" si="4"/>
        <v>0</v>
      </c>
      <c r="AO40" s="273">
        <f t="shared" si="5"/>
        <v>0</v>
      </c>
    </row>
    <row r="41" spans="1:44">
      <c r="B41" s="100" t="s">
        <v>68</v>
      </c>
      <c r="C41" s="12"/>
      <c r="D41" s="3"/>
      <c r="E41" s="12"/>
      <c r="F41" s="3"/>
      <c r="G41" s="207"/>
      <c r="H41" s="4"/>
      <c r="I41" s="78"/>
      <c r="J41" s="95"/>
      <c r="K41" s="95"/>
      <c r="L41" s="181"/>
      <c r="M41" s="181"/>
      <c r="N41" s="78"/>
      <c r="O41" s="95"/>
      <c r="P41" s="95"/>
      <c r="Q41" s="181"/>
      <c r="R41" s="181"/>
      <c r="S41" s="8">
        <f>空調負荷率!V52+空調負荷率!AL52</f>
        <v>0</v>
      </c>
      <c r="T41" s="26">
        <f>空調負荷率!V75+空調負荷率!AL75</f>
        <v>0</v>
      </c>
      <c r="U41" s="56">
        <f>空調負荷率!E52+空調負荷率!E75</f>
        <v>0</v>
      </c>
      <c r="V41" s="56">
        <f>空調負荷率!F52+空調負荷率!F75</f>
        <v>0</v>
      </c>
      <c r="W41" s="12"/>
      <c r="X41" s="3"/>
      <c r="Y41" s="3"/>
      <c r="Z41" s="4"/>
      <c r="AA41" s="4"/>
      <c r="AB41" s="78"/>
      <c r="AC41" s="85"/>
      <c r="AD41" s="95"/>
      <c r="AE41" s="78"/>
      <c r="AF41" s="85"/>
      <c r="AG41" s="95"/>
      <c r="AH41" s="8">
        <f>空調負荷率!BI52+空調負荷率!BY52</f>
        <v>0</v>
      </c>
      <c r="AI41" s="197">
        <f>空調負荷率!BI75+空調負荷率!BY75</f>
        <v>0</v>
      </c>
      <c r="AJ41" s="56">
        <f>空調負荷率!AQ52+空調負荷率!AQ75</f>
        <v>0</v>
      </c>
      <c r="AK41" s="56">
        <f>空調負荷率!AR52+空調負荷率!AR75</f>
        <v>0</v>
      </c>
      <c r="AL41" s="159">
        <f t="shared" si="2"/>
        <v>0</v>
      </c>
      <c r="AM41" s="151">
        <f t="shared" si="3"/>
        <v>0</v>
      </c>
      <c r="AN41" s="273">
        <f t="shared" si="4"/>
        <v>0</v>
      </c>
      <c r="AO41" s="273">
        <f t="shared" si="5"/>
        <v>0</v>
      </c>
    </row>
    <row r="42" spans="1:44">
      <c r="N42" s="96"/>
      <c r="O42" s="96"/>
      <c r="AM42" s="14"/>
    </row>
    <row r="43" spans="1:44" ht="29">
      <c r="A43" s="499" t="s">
        <v>981</v>
      </c>
      <c r="AL43" s="22"/>
      <c r="AM43" s="14"/>
    </row>
    <row r="44" spans="1:44" ht="29">
      <c r="A44" s="499"/>
      <c r="AL44" s="22"/>
      <c r="AM44" s="14"/>
    </row>
    <row r="45" spans="1:44" ht="29">
      <c r="A45" s="499"/>
      <c r="AL45" s="22"/>
      <c r="AM45" s="14"/>
    </row>
    <row r="46" spans="1:44" ht="29">
      <c r="A46" s="499"/>
      <c r="AL46" s="22"/>
      <c r="AM46" s="14"/>
    </row>
    <row r="47" spans="1:44">
      <c r="AM47" s="14"/>
      <c r="AN47" s="22"/>
      <c r="AO47" s="22"/>
    </row>
    <row r="48" spans="1:44">
      <c r="AM48" s="14"/>
      <c r="AR48" s="22"/>
    </row>
    <row r="49" spans="2:44">
      <c r="AM49" s="14"/>
      <c r="AR49" s="22"/>
    </row>
    <row r="53" spans="2:44">
      <c r="I53" s="609" t="s">
        <v>1103</v>
      </c>
      <c r="J53" s="609"/>
    </row>
    <row r="54" spans="2:44">
      <c r="I54" s="400" t="s">
        <v>103</v>
      </c>
      <c r="J54" s="401" t="s">
        <v>104</v>
      </c>
    </row>
    <row r="55" spans="2:44">
      <c r="B55" s="500" t="str">
        <f>HYPERLINK("#B2", "【シートトップ】ハイパーリンク")</f>
        <v>【シートトップ】ハイパーリンク</v>
      </c>
      <c r="I55" s="515">
        <v>0.4</v>
      </c>
      <c r="J55" s="515">
        <v>0.4</v>
      </c>
    </row>
    <row r="56" spans="2:44">
      <c r="B56" s="610" t="s">
        <v>20</v>
      </c>
      <c r="C56" s="516" t="s">
        <v>22</v>
      </c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7"/>
      <c r="O56" s="517"/>
      <c r="P56" s="517"/>
      <c r="Q56" s="517"/>
      <c r="R56" s="517"/>
      <c r="S56" s="517"/>
      <c r="T56" s="115"/>
      <c r="U56" s="104"/>
      <c r="V56" s="105"/>
      <c r="W56" s="518" t="s">
        <v>984</v>
      </c>
      <c r="X56" s="518"/>
      <c r="Y56" s="518"/>
      <c r="Z56" s="518"/>
      <c r="AA56" s="518"/>
      <c r="AB56" s="517"/>
      <c r="AC56" s="104"/>
      <c r="AD56" s="104"/>
      <c r="AE56" s="517"/>
      <c r="AF56" s="104"/>
      <c r="AG56" s="104"/>
      <c r="AH56" s="104"/>
      <c r="AI56" s="115"/>
      <c r="AJ56" s="104"/>
      <c r="AK56" s="105"/>
      <c r="AL56" s="244" t="s">
        <v>31</v>
      </c>
      <c r="AM56" s="245"/>
      <c r="AN56" s="245"/>
      <c r="AO56" s="246"/>
    </row>
    <row r="57" spans="2:44">
      <c r="B57" s="643"/>
      <c r="C57" s="307" t="s">
        <v>944</v>
      </c>
      <c r="D57" s="261"/>
      <c r="E57" s="261"/>
      <c r="F57" s="261"/>
      <c r="G57" s="261"/>
      <c r="H57" s="261"/>
      <c r="I57" s="519" t="s">
        <v>103</v>
      </c>
      <c r="J57" s="262"/>
      <c r="K57" s="520"/>
      <c r="L57" s="520"/>
      <c r="M57" s="520"/>
      <c r="N57" s="521" t="s">
        <v>104</v>
      </c>
      <c r="O57" s="263"/>
      <c r="P57" s="522"/>
      <c r="Q57" s="522"/>
      <c r="R57" s="522"/>
      <c r="S57" s="264" t="s">
        <v>929</v>
      </c>
      <c r="T57" s="265"/>
      <c r="U57" s="265"/>
      <c r="V57" s="266"/>
      <c r="W57" s="261"/>
      <c r="X57" s="261"/>
      <c r="Y57" s="261"/>
      <c r="Z57" s="261"/>
      <c r="AA57" s="261"/>
      <c r="AB57" s="519" t="s">
        <v>103</v>
      </c>
      <c r="AC57" s="520"/>
      <c r="AD57" s="520"/>
      <c r="AE57" s="521" t="s">
        <v>104</v>
      </c>
      <c r="AF57" s="263"/>
      <c r="AG57" s="522"/>
      <c r="AH57" s="264" t="s">
        <v>929</v>
      </c>
      <c r="AI57" s="265"/>
      <c r="AJ57" s="104"/>
      <c r="AK57" s="105"/>
      <c r="AL57" s="247"/>
      <c r="AM57" s="248"/>
      <c r="AN57" s="248"/>
      <c r="AO57" s="249"/>
    </row>
    <row r="58" spans="2:44" ht="54">
      <c r="B58" s="644"/>
      <c r="C58" s="267" t="s">
        <v>945</v>
      </c>
      <c r="D58" s="267" t="s">
        <v>105</v>
      </c>
      <c r="E58" s="267" t="s">
        <v>980</v>
      </c>
      <c r="F58" s="267" t="s">
        <v>913</v>
      </c>
      <c r="G58" s="267" t="s">
        <v>911</v>
      </c>
      <c r="H58" s="267" t="s">
        <v>918</v>
      </c>
      <c r="I58" s="269" t="s">
        <v>757</v>
      </c>
      <c r="J58" s="269" t="s">
        <v>965</v>
      </c>
      <c r="K58" s="269" t="s">
        <v>966</v>
      </c>
      <c r="L58" s="269" t="s">
        <v>758</v>
      </c>
      <c r="M58" s="269" t="s">
        <v>759</v>
      </c>
      <c r="N58" s="268" t="s">
        <v>757</v>
      </c>
      <c r="O58" s="268" t="s">
        <v>967</v>
      </c>
      <c r="P58" s="268" t="s">
        <v>968</v>
      </c>
      <c r="Q58" s="268" t="s">
        <v>758</v>
      </c>
      <c r="R58" s="268" t="s">
        <v>759</v>
      </c>
      <c r="S58" s="267" t="s">
        <v>969</v>
      </c>
      <c r="T58" s="267" t="s">
        <v>116</v>
      </c>
      <c r="U58" s="267" t="s">
        <v>129</v>
      </c>
      <c r="V58" s="267" t="s">
        <v>1116</v>
      </c>
      <c r="W58" s="267" t="s">
        <v>945</v>
      </c>
      <c r="X58" s="267" t="s">
        <v>106</v>
      </c>
      <c r="Y58" s="267" t="s">
        <v>913</v>
      </c>
      <c r="Z58" s="267" t="s">
        <v>911</v>
      </c>
      <c r="AA58" s="267" t="s">
        <v>918</v>
      </c>
      <c r="AB58" s="269" t="s">
        <v>757</v>
      </c>
      <c r="AC58" s="269" t="s">
        <v>970</v>
      </c>
      <c r="AD58" s="269" t="s">
        <v>971</v>
      </c>
      <c r="AE58" s="268" t="s">
        <v>757</v>
      </c>
      <c r="AF58" s="268" t="s">
        <v>972</v>
      </c>
      <c r="AG58" s="268" t="s">
        <v>973</v>
      </c>
      <c r="AH58" s="267" t="s">
        <v>974</v>
      </c>
      <c r="AI58" s="267" t="s">
        <v>117</v>
      </c>
      <c r="AJ58" s="175" t="s">
        <v>41</v>
      </c>
      <c r="AK58" s="175" t="s">
        <v>1116</v>
      </c>
      <c r="AL58" s="176" t="s">
        <v>42</v>
      </c>
      <c r="AM58" s="175" t="s">
        <v>118</v>
      </c>
      <c r="AN58" s="176" t="s">
        <v>43</v>
      </c>
      <c r="AO58" s="175" t="s">
        <v>1067</v>
      </c>
    </row>
    <row r="59" spans="2:44">
      <c r="B59" s="109" t="s">
        <v>21</v>
      </c>
      <c r="C59" s="193"/>
      <c r="D59" s="402" t="s">
        <v>45</v>
      </c>
      <c r="E59" s="402" t="s">
        <v>869</v>
      </c>
      <c r="F59" s="141"/>
      <c r="G59" s="193"/>
      <c r="H59" s="141"/>
      <c r="I59" s="237" t="s">
        <v>107</v>
      </c>
      <c r="J59" s="237" t="s">
        <v>107</v>
      </c>
      <c r="K59" s="237" t="s">
        <v>107</v>
      </c>
      <c r="L59" s="237" t="s">
        <v>867</v>
      </c>
      <c r="M59" s="237" t="s">
        <v>868</v>
      </c>
      <c r="N59" s="238" t="s">
        <v>107</v>
      </c>
      <c r="O59" s="238" t="s">
        <v>107</v>
      </c>
      <c r="P59" s="238" t="s">
        <v>107</v>
      </c>
      <c r="Q59" s="238" t="s">
        <v>867</v>
      </c>
      <c r="R59" s="238" t="s">
        <v>868</v>
      </c>
      <c r="S59" s="402" t="s">
        <v>19</v>
      </c>
      <c r="T59" s="402" t="s">
        <v>111</v>
      </c>
      <c r="U59" s="101" t="s">
        <v>8</v>
      </c>
      <c r="V59" s="101"/>
      <c r="W59" s="193"/>
      <c r="X59" s="402" t="s">
        <v>45</v>
      </c>
      <c r="Y59" s="141"/>
      <c r="Z59" s="141"/>
      <c r="AA59" s="141"/>
      <c r="AB59" s="237" t="s">
        <v>107</v>
      </c>
      <c r="AC59" s="237" t="s">
        <v>107</v>
      </c>
      <c r="AD59" s="237" t="s">
        <v>107</v>
      </c>
      <c r="AE59" s="238" t="s">
        <v>107</v>
      </c>
      <c r="AF59" s="238" t="s">
        <v>107</v>
      </c>
      <c r="AG59" s="238" t="s">
        <v>107</v>
      </c>
      <c r="AH59" s="402" t="s">
        <v>19</v>
      </c>
      <c r="AI59" s="106" t="s">
        <v>111</v>
      </c>
      <c r="AJ59" s="101" t="s">
        <v>8</v>
      </c>
      <c r="AK59" s="101"/>
      <c r="AL59" s="402" t="s">
        <v>19</v>
      </c>
      <c r="AM59" s="106" t="s">
        <v>119</v>
      </c>
      <c r="AN59" s="101" t="s">
        <v>8</v>
      </c>
      <c r="AO59" s="106" t="s">
        <v>763</v>
      </c>
    </row>
    <row r="60" spans="2:44">
      <c r="B60" s="165" t="s">
        <v>16</v>
      </c>
      <c r="C60" s="91"/>
      <c r="D60" s="16">
        <f>SUM(D61:D65)</f>
        <v>14</v>
      </c>
      <c r="E60" s="91"/>
      <c r="F60" s="91"/>
      <c r="G60" s="91"/>
      <c r="H60" s="91"/>
      <c r="I60" s="75">
        <f>SUMPRODUCT($D61:$D65*I61:I65)</f>
        <v>270.5</v>
      </c>
      <c r="J60" s="75">
        <f>SUMPRODUCT($D61:$D65*J61:J65)</f>
        <v>52.775000000000006</v>
      </c>
      <c r="K60" s="75">
        <f>SUMPRODUCT($D61:$D65*K61:K65)</f>
        <v>107.9</v>
      </c>
      <c r="L60" s="182"/>
      <c r="M60" s="182"/>
      <c r="N60" s="73">
        <f>SUMPRODUCT($D61:$D65*N61:N65)</f>
        <v>309.5</v>
      </c>
      <c r="O60" s="94">
        <f>SUMPRODUCT($D61:$D65*O61:O65)</f>
        <v>54.355000000000004</v>
      </c>
      <c r="P60" s="94">
        <f>SUMPRODUCT($D61:$D65*P61:P65)</f>
        <v>100.9</v>
      </c>
      <c r="Q60" s="182"/>
      <c r="R60" s="182"/>
      <c r="S60" s="9">
        <f>SUM(S61:S65)</f>
        <v>43015.149600000004</v>
      </c>
      <c r="T60" s="24">
        <f>SUM(T61:T65)</f>
        <v>5781.3092672727271</v>
      </c>
      <c r="U60" s="59">
        <f>SUM(U61:U65)</f>
        <v>35.009313959106912</v>
      </c>
      <c r="V60" s="59">
        <f>SUM(V61:V65)</f>
        <v>17.397111547128603</v>
      </c>
      <c r="W60" s="91"/>
      <c r="X60" s="16">
        <f>SUM(X61:X65)</f>
        <v>18</v>
      </c>
      <c r="Y60" s="91"/>
      <c r="Z60" s="91"/>
      <c r="AA60" s="91"/>
      <c r="AB60" s="75">
        <f t="shared" ref="AB60:AG60" si="6">SUMPRODUCT($X61:$X65*AB61:AB65)</f>
        <v>270.5</v>
      </c>
      <c r="AC60" s="93">
        <f t="shared" si="6"/>
        <v>30.999000000000002</v>
      </c>
      <c r="AD60" s="94">
        <f t="shared" si="6"/>
        <v>36.6</v>
      </c>
      <c r="AE60" s="73">
        <f t="shared" si="6"/>
        <v>304</v>
      </c>
      <c r="AF60" s="93">
        <f t="shared" si="6"/>
        <v>32.769999999999996</v>
      </c>
      <c r="AG60" s="94">
        <f t="shared" si="6"/>
        <v>34.4</v>
      </c>
      <c r="AH60" s="9">
        <f t="shared" ref="AH60:AM60" si="7">SUM(AH61:AH65)</f>
        <v>35726.428913931901</v>
      </c>
      <c r="AI60" s="196">
        <f t="shared" si="7"/>
        <v>3831.9932999043067</v>
      </c>
      <c r="AJ60" s="59">
        <f t="shared" si="7"/>
        <v>23.253677126708478</v>
      </c>
      <c r="AK60" s="59">
        <f t="shared" si="7"/>
        <v>11.918466807563631</v>
      </c>
      <c r="AL60" s="158">
        <f t="shared" si="7"/>
        <v>7288.7206860681044</v>
      </c>
      <c r="AM60" s="150">
        <f t="shared" si="7"/>
        <v>1949.3159673684208</v>
      </c>
      <c r="AN60" s="274">
        <f>SUM(AN61:AN65)</f>
        <v>11.75563683239843</v>
      </c>
      <c r="AO60" s="272">
        <f>SUM(AO61:AO65)</f>
        <v>5.4786447395649711</v>
      </c>
    </row>
    <row r="61" spans="2:44">
      <c r="B61" s="109" t="s">
        <v>49</v>
      </c>
      <c r="C61" s="484" t="s">
        <v>993</v>
      </c>
      <c r="D61" s="419">
        <v>5</v>
      </c>
      <c r="E61" s="484">
        <v>1995</v>
      </c>
      <c r="F61" s="419"/>
      <c r="G61" s="523" t="s">
        <v>978</v>
      </c>
      <c r="H61" s="423"/>
      <c r="I61" s="524">
        <v>14</v>
      </c>
      <c r="J61" s="525">
        <v>4.79</v>
      </c>
      <c r="K61" s="525"/>
      <c r="L61" s="526">
        <v>8</v>
      </c>
      <c r="M61" s="526">
        <v>100</v>
      </c>
      <c r="N61" s="527">
        <v>16</v>
      </c>
      <c r="O61" s="525">
        <v>5.33</v>
      </c>
      <c r="P61" s="525"/>
      <c r="Q61" s="526">
        <v>8</v>
      </c>
      <c r="R61" s="526">
        <v>80</v>
      </c>
      <c r="S61" s="8">
        <f>空調負荷率!V87+空調負荷率!AL87</f>
        <v>21729.599999999999</v>
      </c>
      <c r="T61" s="26">
        <f>空調負荷率!V94+空調負荷率!AL94</f>
        <v>0</v>
      </c>
      <c r="U61" s="56">
        <f>空調負荷率!E87+空調負荷率!E94</f>
        <v>9.3654575999999992</v>
      </c>
      <c r="V61" s="56">
        <f>空調負荷率!F87+空調負荷率!F94</f>
        <v>4.8437885952000004</v>
      </c>
      <c r="W61" s="484" t="s">
        <v>998</v>
      </c>
      <c r="X61" s="419">
        <v>5</v>
      </c>
      <c r="Y61" s="419"/>
      <c r="Z61" s="423" t="s">
        <v>978</v>
      </c>
      <c r="AA61" s="423"/>
      <c r="AB61" s="524">
        <v>14</v>
      </c>
      <c r="AC61" s="528">
        <v>4.4800000000000004</v>
      </c>
      <c r="AD61" s="525"/>
      <c r="AE61" s="524">
        <v>16</v>
      </c>
      <c r="AF61" s="528">
        <v>4.88</v>
      </c>
      <c r="AG61" s="525"/>
      <c r="AH61" s="8">
        <f>空調負荷率!BI87+空調負荷率!BY87</f>
        <v>13414.400000000001</v>
      </c>
      <c r="AI61" s="197">
        <f>空調負荷率!BI94+空調負荷率!BY94</f>
        <v>0</v>
      </c>
      <c r="AJ61" s="56">
        <f>空調負荷率!AQ87+空調負荷率!AQ94</f>
        <v>5.7816064000000011</v>
      </c>
      <c r="AK61" s="56">
        <f>空調負荷率!AR87+空調負荷率!AR94</f>
        <v>2.9902307328000006</v>
      </c>
      <c r="AL61" s="159">
        <f t="shared" ref="AL61:AM65" si="8">S61-AH61</f>
        <v>8315.1999999999971</v>
      </c>
      <c r="AM61" s="151">
        <f t="shared" si="8"/>
        <v>0</v>
      </c>
      <c r="AN61" s="273">
        <f t="shared" ref="AN61:AO65" si="9">U61-AJ61</f>
        <v>3.583851199999998</v>
      </c>
      <c r="AO61" s="273">
        <f t="shared" si="9"/>
        <v>1.8535578623999998</v>
      </c>
    </row>
    <row r="62" spans="2:44">
      <c r="B62" s="100" t="s">
        <v>50</v>
      </c>
      <c r="C62" s="484" t="s">
        <v>994</v>
      </c>
      <c r="D62" s="419">
        <v>1</v>
      </c>
      <c r="E62" s="484">
        <v>2003</v>
      </c>
      <c r="F62" s="419"/>
      <c r="G62" s="523" t="s">
        <v>975</v>
      </c>
      <c r="H62" s="423" t="s">
        <v>976</v>
      </c>
      <c r="I62" s="524">
        <v>45</v>
      </c>
      <c r="J62" s="525">
        <v>1.1200000000000001</v>
      </c>
      <c r="K62" s="525">
        <v>40.200000000000003</v>
      </c>
      <c r="L62" s="526">
        <v>8</v>
      </c>
      <c r="M62" s="526">
        <v>80</v>
      </c>
      <c r="N62" s="527">
        <v>53</v>
      </c>
      <c r="O62" s="525">
        <v>1.1499999999999999</v>
      </c>
      <c r="P62" s="525">
        <v>36.4</v>
      </c>
      <c r="Q62" s="526">
        <v>8</v>
      </c>
      <c r="R62" s="526">
        <v>110</v>
      </c>
      <c r="S62" s="8">
        <f>空調負荷率!V88+空調負荷率!AL88</f>
        <v>995.78880000000004</v>
      </c>
      <c r="T62" s="26">
        <f>空調負荷率!V95+空調負荷率!AL95</f>
        <v>2601.0903272727273</v>
      </c>
      <c r="U62" s="56">
        <f>空調負荷率!E88+空調負荷率!E95</f>
        <v>5.7614201437090911</v>
      </c>
      <c r="V62" s="56">
        <f>空調負荷率!F88+空調負荷率!F95</f>
        <v>2.9062984907310545</v>
      </c>
      <c r="W62" s="484" t="s">
        <v>999</v>
      </c>
      <c r="X62" s="419">
        <v>1</v>
      </c>
      <c r="Y62" s="419"/>
      <c r="Z62" s="423" t="s">
        <v>975</v>
      </c>
      <c r="AA62" s="423" t="s">
        <v>976</v>
      </c>
      <c r="AB62" s="524">
        <v>45</v>
      </c>
      <c r="AC62" s="528">
        <v>0.64900000000000002</v>
      </c>
      <c r="AD62" s="525">
        <v>36.6</v>
      </c>
      <c r="AE62" s="524">
        <v>50</v>
      </c>
      <c r="AF62" s="528">
        <v>0.47</v>
      </c>
      <c r="AG62" s="525">
        <v>34.4</v>
      </c>
      <c r="AH62" s="8">
        <f>空調負荷率!BI88+空調負荷率!BY88</f>
        <v>331.584</v>
      </c>
      <c r="AI62" s="197">
        <f>空調負荷率!BI95+空調負荷率!BY95</f>
        <v>1938.1285236363638</v>
      </c>
      <c r="AJ62" s="56">
        <f>空調負荷率!AQ88+空調負荷率!AQ95</f>
        <v>4.1160761774545467</v>
      </c>
      <c r="AK62" s="56">
        <f>空調負荷率!AR88+空調負荷率!AR95</f>
        <v>2.0740626890007272</v>
      </c>
      <c r="AL62" s="159">
        <f t="shared" si="8"/>
        <v>664.20479999999998</v>
      </c>
      <c r="AM62" s="151">
        <f t="shared" si="8"/>
        <v>662.96180363636358</v>
      </c>
      <c r="AN62" s="273">
        <f t="shared" si="9"/>
        <v>1.6453439662545444</v>
      </c>
      <c r="AO62" s="273">
        <f t="shared" si="9"/>
        <v>0.8322358017303273</v>
      </c>
    </row>
    <row r="63" spans="2:44">
      <c r="B63" s="100" t="s">
        <v>51</v>
      </c>
      <c r="C63" s="484" t="s">
        <v>995</v>
      </c>
      <c r="D63" s="419">
        <v>6</v>
      </c>
      <c r="E63" s="484">
        <v>2011</v>
      </c>
      <c r="F63" s="419">
        <v>4.3</v>
      </c>
      <c r="G63" s="523" t="s">
        <v>978</v>
      </c>
      <c r="H63" s="423"/>
      <c r="I63" s="524">
        <v>12.5</v>
      </c>
      <c r="J63" s="525">
        <v>4.3499999999999996</v>
      </c>
      <c r="K63" s="525"/>
      <c r="L63" s="526">
        <v>8</v>
      </c>
      <c r="M63" s="526">
        <v>100</v>
      </c>
      <c r="N63" s="527">
        <v>14</v>
      </c>
      <c r="O63" s="525">
        <v>4.1500000000000004</v>
      </c>
      <c r="P63" s="525"/>
      <c r="Q63" s="526">
        <v>8</v>
      </c>
      <c r="R63" s="526">
        <v>80</v>
      </c>
      <c r="S63" s="8">
        <f>空調負荷率!V89+空調負荷率!AL89</f>
        <v>18849.792000000001</v>
      </c>
      <c r="T63" s="26">
        <f>空調負荷率!V96+空調負荷率!AL96</f>
        <v>0</v>
      </c>
      <c r="U63" s="56">
        <f>空調負荷率!E89+空調負荷率!E96</f>
        <v>8.1242603520000003</v>
      </c>
      <c r="V63" s="56">
        <f>空調負荷率!F89+空調負荷率!F96</f>
        <v>4.2018448343040005</v>
      </c>
      <c r="W63" s="484" t="s">
        <v>1000</v>
      </c>
      <c r="X63" s="419">
        <v>6</v>
      </c>
      <c r="Y63" s="419">
        <v>5.0999999999999996</v>
      </c>
      <c r="Z63" s="423" t="s">
        <v>978</v>
      </c>
      <c r="AA63" s="423"/>
      <c r="AB63" s="524">
        <v>12.5</v>
      </c>
      <c r="AC63" s="528"/>
      <c r="AD63" s="525"/>
      <c r="AE63" s="524">
        <v>14</v>
      </c>
      <c r="AF63" s="528"/>
      <c r="AG63" s="525"/>
      <c r="AH63" s="8">
        <f>空調負荷率!BI89+空調負荷率!BY89</f>
        <v>15892.961882352945</v>
      </c>
      <c r="AI63" s="197">
        <f>空調負荷率!BI96+空調負荷率!BY96</f>
        <v>0</v>
      </c>
      <c r="AJ63" s="56">
        <f>空調負荷率!AQ89+空調負荷率!AQ96</f>
        <v>6.84986657129412</v>
      </c>
      <c r="AK63" s="56">
        <f>空調負荷率!AR89+空調負荷率!AR96</f>
        <v>3.5427319191190598</v>
      </c>
      <c r="AL63" s="159">
        <f t="shared" si="8"/>
        <v>2956.8301176470559</v>
      </c>
      <c r="AM63" s="151">
        <f t="shared" si="8"/>
        <v>0</v>
      </c>
      <c r="AN63" s="273">
        <f t="shared" si="9"/>
        <v>1.2743937807058803</v>
      </c>
      <c r="AO63" s="273">
        <f t="shared" si="9"/>
        <v>0.65911291518494064</v>
      </c>
    </row>
    <row r="64" spans="2:44">
      <c r="B64" s="100" t="s">
        <v>52</v>
      </c>
      <c r="C64" s="484" t="s">
        <v>996</v>
      </c>
      <c r="D64" s="419">
        <v>1</v>
      </c>
      <c r="E64" s="484">
        <v>2009</v>
      </c>
      <c r="F64" s="419">
        <v>1.84</v>
      </c>
      <c r="G64" s="523" t="s">
        <v>975</v>
      </c>
      <c r="H64" s="423" t="s">
        <v>976</v>
      </c>
      <c r="I64" s="524">
        <v>45</v>
      </c>
      <c r="J64" s="525">
        <v>0.64500000000000002</v>
      </c>
      <c r="K64" s="525">
        <v>37.799999999999997</v>
      </c>
      <c r="L64" s="526">
        <v>8</v>
      </c>
      <c r="M64" s="526">
        <v>80</v>
      </c>
      <c r="N64" s="524">
        <v>50</v>
      </c>
      <c r="O64" s="525">
        <v>0.505</v>
      </c>
      <c r="P64" s="525">
        <v>34.9</v>
      </c>
      <c r="Q64" s="526">
        <v>8</v>
      </c>
      <c r="R64" s="526">
        <v>100</v>
      </c>
      <c r="S64" s="8">
        <f>空調負荷率!V90+空調負荷率!AL90</f>
        <v>431.27040000000011</v>
      </c>
      <c r="T64" s="26">
        <f>空調負荷率!V97+空調負荷率!AL97</f>
        <v>2151.18336</v>
      </c>
      <c r="U64" s="56">
        <f>空調負荷率!E90+空調負荷率!E97</f>
        <v>4.5958034304000002</v>
      </c>
      <c r="V64" s="56">
        <f>空調負荷率!F90+空調負荷率!F97</f>
        <v>2.3161565749247996</v>
      </c>
      <c r="W64" s="484" t="s">
        <v>1001</v>
      </c>
      <c r="X64" s="419">
        <v>1</v>
      </c>
      <c r="Y64" s="419">
        <v>2.09</v>
      </c>
      <c r="Z64" s="423" t="s">
        <v>975</v>
      </c>
      <c r="AA64" s="423" t="s">
        <v>976</v>
      </c>
      <c r="AB64" s="524">
        <v>45</v>
      </c>
      <c r="AC64" s="528"/>
      <c r="AD64" s="525"/>
      <c r="AE64" s="524">
        <v>50</v>
      </c>
      <c r="AF64" s="528"/>
      <c r="AG64" s="525"/>
      <c r="AH64" s="8">
        <f>空調負荷率!BI90+空調負荷率!BY90</f>
        <v>379.68303157894752</v>
      </c>
      <c r="AI64" s="197">
        <f>空調負荷率!BI97+空調負荷率!BY97</f>
        <v>1893.8647762679429</v>
      </c>
      <c r="AJ64" s="56">
        <f>空調負荷率!AQ90+空調負荷率!AQ97</f>
        <v>4.0460661779598102</v>
      </c>
      <c r="AK64" s="56">
        <f>空調負荷率!AR90+空調負荷率!AR97</f>
        <v>2.0391043530438435</v>
      </c>
      <c r="AL64" s="159">
        <f t="shared" si="8"/>
        <v>51.587368421052588</v>
      </c>
      <c r="AM64" s="151">
        <f t="shared" si="8"/>
        <v>257.31858373205705</v>
      </c>
      <c r="AN64" s="273">
        <f t="shared" si="9"/>
        <v>0.54973725244019001</v>
      </c>
      <c r="AO64" s="273">
        <f t="shared" si="9"/>
        <v>0.27705222188095613</v>
      </c>
    </row>
    <row r="65" spans="2:41">
      <c r="B65" s="100" t="s">
        <v>53</v>
      </c>
      <c r="C65" s="484" t="s">
        <v>997</v>
      </c>
      <c r="D65" s="419">
        <v>1</v>
      </c>
      <c r="E65" s="484">
        <v>2008</v>
      </c>
      <c r="F65" s="419"/>
      <c r="G65" s="523" t="s">
        <v>975</v>
      </c>
      <c r="H65" s="423" t="s">
        <v>977</v>
      </c>
      <c r="I65" s="524">
        <v>35.5</v>
      </c>
      <c r="J65" s="525">
        <v>0.96</v>
      </c>
      <c r="K65" s="525">
        <v>29.9</v>
      </c>
      <c r="L65" s="526">
        <v>9</v>
      </c>
      <c r="M65" s="526">
        <v>110</v>
      </c>
      <c r="N65" s="524">
        <v>42.5</v>
      </c>
      <c r="O65" s="525">
        <v>1.1499999999999999</v>
      </c>
      <c r="P65" s="525">
        <v>29.6</v>
      </c>
      <c r="Q65" s="526">
        <v>9</v>
      </c>
      <c r="R65" s="526">
        <v>90</v>
      </c>
      <c r="S65" s="8">
        <f>空調負荷率!V91+空調負荷率!AL91</f>
        <v>1008.6984000000001</v>
      </c>
      <c r="T65" s="26">
        <f>空調負荷率!V98+空調負荷率!AL98</f>
        <v>1029.0355800000002</v>
      </c>
      <c r="U65" s="56">
        <f>空調負荷率!E91+空調負荷率!E98</f>
        <v>7.1623724329978176</v>
      </c>
      <c r="V65" s="56">
        <f>空調負荷率!F91+空調負荷率!F98</f>
        <v>3.1290230519687476</v>
      </c>
      <c r="W65" s="484" t="s">
        <v>1002</v>
      </c>
      <c r="X65" s="419">
        <v>5</v>
      </c>
      <c r="Y65" s="419"/>
      <c r="Z65" s="423" t="s">
        <v>978</v>
      </c>
      <c r="AA65" s="423"/>
      <c r="AB65" s="524">
        <v>7.1</v>
      </c>
      <c r="AC65" s="528">
        <v>1.59</v>
      </c>
      <c r="AD65" s="525"/>
      <c r="AE65" s="524">
        <v>8</v>
      </c>
      <c r="AF65" s="528">
        <v>1.58</v>
      </c>
      <c r="AG65" s="525"/>
      <c r="AH65" s="8">
        <f>空調負荷率!BI91+空調負荷率!BY91</f>
        <v>5707.8000000000011</v>
      </c>
      <c r="AI65" s="197">
        <f>空調負荷率!BI98+空調負荷率!BY98</f>
        <v>0</v>
      </c>
      <c r="AJ65" s="56">
        <f>空調負荷率!AQ91+空調負荷率!AQ98</f>
        <v>2.4600618000000005</v>
      </c>
      <c r="AK65" s="56">
        <f>空調負荷率!AR91+空調負荷率!AR98</f>
        <v>1.2723371136000003</v>
      </c>
      <c r="AL65" s="159">
        <f t="shared" si="8"/>
        <v>-4699.1016000000009</v>
      </c>
      <c r="AM65" s="151">
        <f t="shared" si="8"/>
        <v>1029.0355800000002</v>
      </c>
      <c r="AN65" s="273">
        <f t="shared" si="9"/>
        <v>4.7023106329978166</v>
      </c>
      <c r="AO65" s="273">
        <f t="shared" si="9"/>
        <v>1.8566859383687473</v>
      </c>
    </row>
    <row r="67" spans="2:41" ht="18.5" thickBot="1"/>
    <row r="68" spans="2:41">
      <c r="R68" s="283" t="s">
        <v>354</v>
      </c>
      <c r="S68" s="284"/>
      <c r="T68" s="284"/>
      <c r="U68" s="284"/>
      <c r="V68" s="285"/>
      <c r="AB68" s="22"/>
      <c r="AC68" s="22"/>
      <c r="AD68" s="22"/>
      <c r="AE68" s="22"/>
      <c r="AF68" s="22"/>
    </row>
    <row r="69" spans="2:41">
      <c r="R69" s="286" t="s">
        <v>359</v>
      </c>
      <c r="S69" s="287"/>
      <c r="T69" s="289"/>
      <c r="U69" s="287" t="s">
        <v>1010</v>
      </c>
      <c r="V69" s="288"/>
      <c r="AB69" s="22"/>
      <c r="AC69" s="22"/>
      <c r="AD69" s="22"/>
      <c r="AE69" s="22"/>
      <c r="AF69" s="22"/>
    </row>
    <row r="70" spans="2:41">
      <c r="R70" s="290" t="s">
        <v>360</v>
      </c>
      <c r="S70" s="291"/>
      <c r="T70" s="289"/>
      <c r="U70" s="291" t="s">
        <v>1009</v>
      </c>
      <c r="V70" s="292"/>
      <c r="AB70" s="22"/>
      <c r="AC70" s="22"/>
      <c r="AD70" s="22"/>
      <c r="AE70" s="22"/>
      <c r="AF70" s="22"/>
    </row>
    <row r="71" spans="2:41">
      <c r="R71" s="286" t="s">
        <v>1003</v>
      </c>
      <c r="S71" s="289"/>
      <c r="T71" s="299" t="s">
        <v>379</v>
      </c>
      <c r="U71" s="296">
        <v>14</v>
      </c>
      <c r="V71" s="288"/>
      <c r="AB71" s="22"/>
      <c r="AC71" s="22"/>
      <c r="AD71" s="271"/>
      <c r="AE71" s="301"/>
      <c r="AF71" s="22"/>
    </row>
    <row r="72" spans="2:41">
      <c r="R72" s="286" t="s">
        <v>1004</v>
      </c>
      <c r="S72" s="289"/>
      <c r="T72" s="299" t="s">
        <v>379</v>
      </c>
      <c r="U72" s="297">
        <v>4.79</v>
      </c>
      <c r="V72" s="288"/>
      <c r="AB72" s="22"/>
      <c r="AC72" s="22"/>
      <c r="AD72" s="271"/>
      <c r="AE72" s="302"/>
      <c r="AF72" s="22"/>
    </row>
    <row r="73" spans="2:41">
      <c r="R73" s="286" t="s">
        <v>1005</v>
      </c>
      <c r="S73" s="289"/>
      <c r="T73" s="299" t="s">
        <v>379</v>
      </c>
      <c r="U73" s="296">
        <v>16</v>
      </c>
      <c r="V73" s="288"/>
      <c r="AB73" s="22"/>
      <c r="AC73" s="22"/>
      <c r="AD73" s="271"/>
      <c r="AE73" s="301"/>
      <c r="AF73" s="22"/>
    </row>
    <row r="74" spans="2:41">
      <c r="R74" s="286" t="s">
        <v>1006</v>
      </c>
      <c r="S74" s="289"/>
      <c r="T74" s="299" t="s">
        <v>379</v>
      </c>
      <c r="U74" s="297">
        <v>5.33</v>
      </c>
      <c r="V74" s="288"/>
      <c r="AB74" s="22"/>
      <c r="AC74" s="22"/>
      <c r="AD74" s="271"/>
      <c r="AE74" s="302"/>
      <c r="AF74" s="22"/>
    </row>
    <row r="75" spans="2:41">
      <c r="R75" s="286" t="s">
        <v>1007</v>
      </c>
      <c r="S75" s="289"/>
      <c r="T75" s="299" t="s">
        <v>379</v>
      </c>
      <c r="U75" s="296">
        <v>14.5</v>
      </c>
      <c r="V75" s="288"/>
      <c r="AB75" s="22"/>
      <c r="AC75" s="22"/>
      <c r="AD75" s="271"/>
      <c r="AE75" s="301"/>
      <c r="AF75" s="22"/>
    </row>
    <row r="76" spans="2:41" ht="18.5" thickBot="1">
      <c r="R76" s="293" t="s">
        <v>1008</v>
      </c>
      <c r="S76" s="294"/>
      <c r="T76" s="300" t="s">
        <v>379</v>
      </c>
      <c r="U76" s="298">
        <v>9.52</v>
      </c>
      <c r="V76" s="295"/>
      <c r="AB76" s="22"/>
      <c r="AC76" s="22"/>
      <c r="AD76" s="271"/>
      <c r="AE76" s="302"/>
      <c r="AF76" s="22"/>
    </row>
  </sheetData>
  <sheetProtection algorithmName="SHA-512" hashValue="x40hJBS3gkz9bCg1O1TjtGy23ujAMoijRaXJF7iompfa3z1l313fJrmbyYATg2NsJqP9qYs/7c06PAbMkRwjxA==" saltValue="HfTtG3Cw7YNlLpz1OR5DqQ==" spinCount="100000" sheet="1" formatCells="0" formatColumns="0" formatRows="0"/>
  <mergeCells count="17">
    <mergeCell ref="I14:J14"/>
    <mergeCell ref="I53:J53"/>
    <mergeCell ref="B56:B58"/>
    <mergeCell ref="B4:C4"/>
    <mergeCell ref="B5:C5"/>
    <mergeCell ref="B6:C6"/>
    <mergeCell ref="B7:C7"/>
    <mergeCell ref="B17:B19"/>
    <mergeCell ref="B8:C8"/>
    <mergeCell ref="I4:J4"/>
    <mergeCell ref="I7:J7"/>
    <mergeCell ref="L7:M7"/>
    <mergeCell ref="L8:M8"/>
    <mergeCell ref="L3:U3"/>
    <mergeCell ref="L4:U4"/>
    <mergeCell ref="L6:U6"/>
    <mergeCell ref="P7:U8"/>
  </mergeCells>
  <phoneticPr fontId="6"/>
  <conditionalFormatting sqref="AB21">
    <cfRule type="cellIs" dxfId="70" priority="65" operator="greaterThan">
      <formula>$I$21</formula>
    </cfRule>
  </conditionalFormatting>
  <conditionalFormatting sqref="AE21">
    <cfRule type="cellIs" dxfId="69" priority="64" operator="greaterThan">
      <formula>$N$21</formula>
    </cfRule>
  </conditionalFormatting>
  <conditionalFormatting sqref="P7">
    <cfRule type="cellIs" dxfId="68" priority="63" operator="notEqual">
      <formula>"ー"</formula>
    </cfRule>
  </conditionalFormatting>
  <conditionalFormatting sqref="AB60">
    <cfRule type="cellIs" dxfId="67" priority="29" operator="greaterThan">
      <formula>$I$60</formula>
    </cfRule>
  </conditionalFormatting>
  <conditionalFormatting sqref="AE60">
    <cfRule type="cellIs" dxfId="66" priority="28" operator="greaterThan">
      <formula>$N$60</formula>
    </cfRule>
  </conditionalFormatting>
  <conditionalFormatting sqref="K61:K65 P61:P65">
    <cfRule type="expression" dxfId="65" priority="21">
      <formula>$G61&lt;&gt;"GHP"</formula>
    </cfRule>
  </conditionalFormatting>
  <conditionalFormatting sqref="AC61:AD65 AF61:AG65 AF22:AG41">
    <cfRule type="expression" dxfId="64" priority="19">
      <formula>$Y22&lt;&gt;""</formula>
    </cfRule>
  </conditionalFormatting>
  <conditionalFormatting sqref="H61:H65">
    <cfRule type="expression" dxfId="63" priority="14">
      <formula>$G61&lt;&gt;"GHP"</formula>
    </cfRule>
  </conditionalFormatting>
  <conditionalFormatting sqref="AA61:AA65 AG22:AG41 AG61:AG65">
    <cfRule type="expression" dxfId="62" priority="13">
      <formula>$Z22&lt;&gt;"GHP"</formula>
    </cfRule>
  </conditionalFormatting>
  <conditionalFormatting sqref="H22:H41">
    <cfRule type="expression" dxfId="61" priority="10">
      <formula>$G22&lt;&gt;"GHP"</formula>
    </cfRule>
  </conditionalFormatting>
  <conditionalFormatting sqref="K22:K41 P22:P41">
    <cfRule type="expression" dxfId="60" priority="9">
      <formula>$G22&lt;&gt;"GHP"</formula>
    </cfRule>
  </conditionalFormatting>
  <conditionalFormatting sqref="Y22:Y41">
    <cfRule type="expression" dxfId="59" priority="1">
      <formula>AND($G22&lt;&gt;"",$Z22&lt;&gt;"",$G22&lt;&gt;$Z22)</formula>
    </cfRule>
    <cfRule type="expression" dxfId="58" priority="8">
      <formula>$E22&lt;2006</formula>
    </cfRule>
  </conditionalFormatting>
  <conditionalFormatting sqref="AA22:AA41">
    <cfRule type="expression" dxfId="57" priority="7">
      <formula>$Z22&lt;&gt;"GHP"</formula>
    </cfRule>
  </conditionalFormatting>
  <conditionalFormatting sqref="AD22:AD41">
    <cfRule type="expression" dxfId="56" priority="6">
      <formula>$Z22&lt;&gt;"GHP"</formula>
    </cfRule>
  </conditionalFormatting>
  <conditionalFormatting sqref="AC22:AD41">
    <cfRule type="expression" dxfId="55" priority="5">
      <formula>$Y22&lt;&gt;""</formula>
    </cfRule>
  </conditionalFormatting>
  <conditionalFormatting sqref="AD61:AD65">
    <cfRule type="expression" dxfId="54" priority="3">
      <formula>$Z61&lt;&gt;"GHP"</formula>
    </cfRule>
  </conditionalFormatting>
  <conditionalFormatting sqref="Y61:Y65 F61:F65 F22:F41">
    <cfRule type="expression" dxfId="53" priority="67">
      <formula>AND($G22&lt;&gt;"",$Z22&lt;&gt;"",$G22&lt;&gt;$Z22)</formula>
    </cfRule>
    <cfRule type="expression" dxfId="52" priority="68">
      <formula>$E22&lt;2006</formula>
    </cfRule>
  </conditionalFormatting>
  <dataValidations count="3">
    <dataValidation type="list" allowBlank="1" showInputMessage="1" showErrorMessage="1" sqref="G22:G41 Z22:Z41 G61:G65 Z61:Z65">
      <formula1>"電気式,GHP"</formula1>
    </dataValidation>
    <dataValidation type="list" allowBlank="1" showInputMessage="1" showErrorMessage="1" sqref="AA22:AA41 H22:H41 AA61:AA65 H61:H65">
      <formula1>"13A（都市ガス）,12A（都市ガス）,LPG"</formula1>
    </dataValidation>
    <dataValidation type="decimal" errorStyle="warning" operator="equal" allowBlank="1" showInputMessage="1" showErrorMessage="1" errorTitle="負荷率の変更について" error="負荷率を変更する場合は、値の根拠となる資料（省エネ診断報告書等）を別途提出してください。" sqref="I16:J16 I55:J55">
      <formula1>0.4</formula1>
    </dataValidation>
  </dataValidations>
  <hyperlinks>
    <hyperlink ref="Q11" display="https://www.enecho.meti.go.jp/category/saving_and_new/saving/enterprise/equipment/"/>
    <hyperlink ref="Q12" location="search" display="https://sii.or.jp/setsubi05r/search/maker?tab=maker&amp;category=led_light#search"/>
  </hyperlinks>
  <pageMargins left="0.70866141732283472" right="0.70866141732283472" top="0.74803149606299213" bottom="0.74803149606299213" header="0.31496062992125984" footer="0.31496062992125984"/>
  <pageSetup paperSize="8" scale="69" fitToHeight="0" orientation="landscape"/>
  <ignoredErrors>
    <ignoredError sqref="AL21:AM21 AI21:AJ2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99"/>
  <sheetViews>
    <sheetView zoomScale="70" zoomScaleNormal="70" workbookViewId="0">
      <selection activeCell="H13" sqref="H13"/>
    </sheetView>
  </sheetViews>
  <sheetFormatPr defaultRowHeight="18"/>
  <cols>
    <col min="1" max="1" width="15.6640625" customWidth="1"/>
    <col min="2" max="2" width="10.6640625" customWidth="1"/>
    <col min="3" max="6" width="10" customWidth="1"/>
    <col min="7" max="7" width="3.9140625" customWidth="1"/>
    <col min="8" max="8" width="10.6640625" bestFit="1" customWidth="1"/>
    <col min="9" max="9" width="6.9140625" customWidth="1"/>
    <col min="10" max="21" width="6.58203125" customWidth="1"/>
    <col min="22" max="22" width="6.58203125" style="180" customWidth="1"/>
    <col min="23" max="23" width="4" customWidth="1"/>
    <col min="24" max="24" width="10.6640625" bestFit="1" customWidth="1"/>
    <col min="25" max="25" width="6.9140625" customWidth="1"/>
    <col min="26" max="37" width="6.58203125" customWidth="1"/>
    <col min="38" max="38" width="6.58203125" style="180" customWidth="1"/>
    <col min="39" max="39" width="4" customWidth="1"/>
    <col min="40" max="40" width="10.6640625" customWidth="1"/>
    <col min="41" max="45" width="10" customWidth="1"/>
    <col min="46" max="46" width="3.9140625" customWidth="1"/>
    <col min="47" max="47" width="10.6640625" bestFit="1" customWidth="1"/>
    <col min="48" max="48" width="6.9140625" customWidth="1"/>
    <col min="49" max="60" width="6.58203125" customWidth="1"/>
    <col min="61" max="61" width="6.58203125" style="180" customWidth="1"/>
    <col min="62" max="62" width="4" customWidth="1"/>
    <col min="63" max="63" width="10.6640625" bestFit="1" customWidth="1"/>
    <col min="64" max="64" width="6.9140625" customWidth="1"/>
    <col min="65" max="76" width="6.58203125" customWidth="1"/>
    <col min="77" max="77" width="6.58203125" style="180" customWidth="1"/>
    <col min="78" max="78" width="4" customWidth="1"/>
  </cols>
  <sheetData>
    <row r="1" spans="1:78" ht="21.5">
      <c r="A1" s="241" t="s">
        <v>893</v>
      </c>
      <c r="B1" s="118"/>
      <c r="C1" s="5"/>
      <c r="D1" s="5"/>
      <c r="E1" s="5"/>
      <c r="F1" s="5"/>
      <c r="G1" s="241"/>
      <c r="H1" s="240"/>
      <c r="I1" s="242" t="s">
        <v>914</v>
      </c>
      <c r="J1" s="5">
        <v>8</v>
      </c>
      <c r="K1" s="5">
        <v>5</v>
      </c>
      <c r="L1" s="5">
        <v>4</v>
      </c>
      <c r="M1" s="5">
        <v>2</v>
      </c>
      <c r="N1" s="5">
        <v>1</v>
      </c>
      <c r="O1" s="5">
        <v>3</v>
      </c>
      <c r="P1" s="5">
        <v>6</v>
      </c>
      <c r="Q1" s="5">
        <v>9</v>
      </c>
      <c r="R1" s="385" t="s">
        <v>1052</v>
      </c>
      <c r="S1" s="118"/>
      <c r="T1" s="118"/>
      <c r="U1" s="5">
        <v>7</v>
      </c>
      <c r="V1" s="118"/>
      <c r="W1" s="5"/>
      <c r="X1" s="118"/>
      <c r="Y1" s="5"/>
      <c r="Z1" s="5">
        <v>6</v>
      </c>
      <c r="AA1" s="5">
        <v>7</v>
      </c>
      <c r="AB1" s="385" t="s">
        <v>1053</v>
      </c>
      <c r="AC1" s="118"/>
      <c r="AD1" s="118"/>
      <c r="AE1" s="118"/>
      <c r="AF1" s="118"/>
      <c r="AG1" s="118">
        <v>5</v>
      </c>
      <c r="AH1" s="5">
        <v>3</v>
      </c>
      <c r="AI1" s="5">
        <v>1</v>
      </c>
      <c r="AJ1" s="5">
        <v>2</v>
      </c>
      <c r="AK1" s="5">
        <v>4</v>
      </c>
      <c r="AL1" s="118"/>
      <c r="AM1" s="5"/>
      <c r="AN1" s="118"/>
      <c r="AO1" s="5"/>
      <c r="AP1" s="5"/>
      <c r="AQ1" s="5"/>
      <c r="AR1" s="5"/>
      <c r="AS1" s="5"/>
      <c r="AT1" s="5"/>
      <c r="AU1" s="118"/>
      <c r="AV1" s="242" t="s">
        <v>914</v>
      </c>
      <c r="AW1" s="5">
        <v>8</v>
      </c>
      <c r="AX1" s="5">
        <v>5</v>
      </c>
      <c r="AY1" s="5">
        <v>4</v>
      </c>
      <c r="AZ1" s="5">
        <v>2</v>
      </c>
      <c r="BA1" s="5">
        <v>1</v>
      </c>
      <c r="BB1" s="5">
        <v>3</v>
      </c>
      <c r="BC1" s="5">
        <v>6</v>
      </c>
      <c r="BD1" s="5">
        <v>9</v>
      </c>
      <c r="BE1" s="118"/>
      <c r="BF1" s="118"/>
      <c r="BG1" s="118"/>
      <c r="BH1" s="5">
        <v>7</v>
      </c>
      <c r="BI1" s="118"/>
      <c r="BJ1" s="5"/>
      <c r="BK1" s="118"/>
      <c r="BL1" s="5"/>
      <c r="BM1" s="5">
        <v>6</v>
      </c>
      <c r="BN1" s="5">
        <v>7</v>
      </c>
      <c r="BO1" s="118"/>
      <c r="BP1" s="118"/>
      <c r="BQ1" s="118"/>
      <c r="BR1" s="118"/>
      <c r="BS1" s="118"/>
      <c r="BT1" s="118">
        <v>5</v>
      </c>
      <c r="BU1" s="5">
        <v>3</v>
      </c>
      <c r="BV1" s="5">
        <v>1</v>
      </c>
      <c r="BW1" s="5">
        <v>2</v>
      </c>
      <c r="BX1" s="5">
        <v>4</v>
      </c>
      <c r="BY1" s="118"/>
      <c r="BZ1" s="5"/>
    </row>
    <row r="2" spans="1:78">
      <c r="B2" s="649" t="s">
        <v>392</v>
      </c>
      <c r="C2" s="650"/>
      <c r="D2" s="102" t="s">
        <v>956</v>
      </c>
      <c r="E2" s="160" t="s">
        <v>391</v>
      </c>
      <c r="H2" s="215" t="s">
        <v>103</v>
      </c>
      <c r="I2" s="206" t="s">
        <v>919</v>
      </c>
      <c r="J2" s="201" t="s">
        <v>894</v>
      </c>
      <c r="K2" s="201" t="s">
        <v>895</v>
      </c>
      <c r="L2" s="201" t="s">
        <v>896</v>
      </c>
      <c r="M2" s="201" t="s">
        <v>897</v>
      </c>
      <c r="N2" s="201" t="s">
        <v>898</v>
      </c>
      <c r="O2" s="201" t="s">
        <v>899</v>
      </c>
      <c r="P2" s="201" t="s">
        <v>900</v>
      </c>
      <c r="Q2" s="201" t="s">
        <v>901</v>
      </c>
      <c r="R2" s="201" t="s">
        <v>902</v>
      </c>
      <c r="S2" s="201" t="s">
        <v>903</v>
      </c>
      <c r="T2" s="201" t="s">
        <v>904</v>
      </c>
      <c r="U2" s="201" t="s">
        <v>905</v>
      </c>
      <c r="V2" s="212"/>
      <c r="X2" s="216" t="s">
        <v>104</v>
      </c>
      <c r="Y2" s="206" t="s">
        <v>908</v>
      </c>
      <c r="Z2" s="201" t="s">
        <v>894</v>
      </c>
      <c r="AA2" s="201" t="s">
        <v>895</v>
      </c>
      <c r="AB2" s="201" t="s">
        <v>896</v>
      </c>
      <c r="AC2" s="201" t="s">
        <v>897</v>
      </c>
      <c r="AD2" s="201" t="s">
        <v>898</v>
      </c>
      <c r="AE2" s="201" t="s">
        <v>899</v>
      </c>
      <c r="AF2" s="201" t="s">
        <v>900</v>
      </c>
      <c r="AG2" s="201" t="s">
        <v>901</v>
      </c>
      <c r="AH2" s="201" t="s">
        <v>902</v>
      </c>
      <c r="AI2" s="201" t="s">
        <v>903</v>
      </c>
      <c r="AJ2" s="201" t="s">
        <v>904</v>
      </c>
      <c r="AK2" s="201" t="s">
        <v>905</v>
      </c>
      <c r="AL2" s="212"/>
      <c r="AN2" s="649" t="s">
        <v>20</v>
      </c>
      <c r="AO2" s="650"/>
      <c r="AP2" s="102" t="s">
        <v>955</v>
      </c>
      <c r="AQ2" s="160" t="s">
        <v>21</v>
      </c>
      <c r="AT2" s="225"/>
      <c r="AU2" s="215" t="s">
        <v>103</v>
      </c>
      <c r="AV2" s="206" t="s">
        <v>919</v>
      </c>
      <c r="AW2" s="218" t="s">
        <v>894</v>
      </c>
      <c r="AX2" s="218" t="s">
        <v>895</v>
      </c>
      <c r="AY2" s="218" t="s">
        <v>896</v>
      </c>
      <c r="AZ2" s="218" t="s">
        <v>897</v>
      </c>
      <c r="BA2" s="218" t="s">
        <v>898</v>
      </c>
      <c r="BB2" s="218" t="s">
        <v>899</v>
      </c>
      <c r="BC2" s="218" t="s">
        <v>900</v>
      </c>
      <c r="BD2" s="218" t="s">
        <v>901</v>
      </c>
      <c r="BE2" s="336" t="s">
        <v>902</v>
      </c>
      <c r="BF2" s="336" t="s">
        <v>903</v>
      </c>
      <c r="BG2" s="336" t="s">
        <v>904</v>
      </c>
      <c r="BH2" s="218" t="s">
        <v>905</v>
      </c>
      <c r="BI2" s="212"/>
      <c r="BK2" s="216" t="s">
        <v>104</v>
      </c>
      <c r="BL2" s="206" t="s">
        <v>908</v>
      </c>
      <c r="BM2" s="218" t="s">
        <v>894</v>
      </c>
      <c r="BN2" s="218" t="s">
        <v>895</v>
      </c>
      <c r="BO2" s="336" t="s">
        <v>896</v>
      </c>
      <c r="BP2" s="336" t="s">
        <v>897</v>
      </c>
      <c r="BQ2" s="336" t="s">
        <v>898</v>
      </c>
      <c r="BR2" s="336" t="s">
        <v>899</v>
      </c>
      <c r="BS2" s="336" t="s">
        <v>900</v>
      </c>
      <c r="BT2" s="336" t="s">
        <v>901</v>
      </c>
      <c r="BU2" s="218" t="s">
        <v>902</v>
      </c>
      <c r="BV2" s="218" t="s">
        <v>903</v>
      </c>
      <c r="BW2" s="218" t="s">
        <v>904</v>
      </c>
      <c r="BX2" s="218" t="s">
        <v>905</v>
      </c>
      <c r="BY2" s="212"/>
    </row>
    <row r="3" spans="1:78">
      <c r="B3" s="646" t="s">
        <v>389</v>
      </c>
      <c r="C3" s="102" t="s">
        <v>108</v>
      </c>
      <c r="D3" s="18">
        <v>11000</v>
      </c>
      <c r="E3" s="21" t="s">
        <v>954</v>
      </c>
      <c r="H3" s="214" t="s">
        <v>920</v>
      </c>
      <c r="I3" s="206" t="s">
        <v>909</v>
      </c>
      <c r="J3" s="201">
        <v>30</v>
      </c>
      <c r="K3" s="201">
        <v>31</v>
      </c>
      <c r="L3" s="201">
        <v>30</v>
      </c>
      <c r="M3" s="201">
        <v>31</v>
      </c>
      <c r="N3" s="201">
        <v>31</v>
      </c>
      <c r="O3" s="201">
        <v>30</v>
      </c>
      <c r="P3" s="201">
        <v>31</v>
      </c>
      <c r="Q3" s="201">
        <v>30</v>
      </c>
      <c r="R3" s="201">
        <v>31</v>
      </c>
      <c r="S3" s="201">
        <v>31</v>
      </c>
      <c r="T3" s="201">
        <v>28</v>
      </c>
      <c r="U3" s="201">
        <v>31</v>
      </c>
      <c r="V3" s="212"/>
      <c r="X3" s="205" t="s">
        <v>910</v>
      </c>
      <c r="Y3" s="206" t="s">
        <v>909</v>
      </c>
      <c r="Z3" s="201">
        <v>30</v>
      </c>
      <c r="AA3" s="201">
        <v>31</v>
      </c>
      <c r="AB3" s="201">
        <v>30</v>
      </c>
      <c r="AC3" s="201">
        <v>31</v>
      </c>
      <c r="AD3" s="201">
        <v>31</v>
      </c>
      <c r="AE3" s="201">
        <v>30</v>
      </c>
      <c r="AF3" s="201">
        <v>31</v>
      </c>
      <c r="AG3" s="201">
        <v>30</v>
      </c>
      <c r="AH3" s="201">
        <v>31</v>
      </c>
      <c r="AI3" s="201">
        <v>31</v>
      </c>
      <c r="AJ3" s="201">
        <v>28</v>
      </c>
      <c r="AK3" s="201">
        <v>31</v>
      </c>
      <c r="AL3" s="212"/>
      <c r="AN3" s="646" t="s">
        <v>9</v>
      </c>
      <c r="AO3" s="102" t="s">
        <v>108</v>
      </c>
      <c r="AP3" s="18">
        <v>11000</v>
      </c>
      <c r="AQ3" s="21" t="s">
        <v>954</v>
      </c>
      <c r="AT3" s="226"/>
      <c r="AU3" s="214" t="s">
        <v>920</v>
      </c>
      <c r="AV3" s="206" t="s">
        <v>909</v>
      </c>
      <c r="AW3" s="218">
        <v>30</v>
      </c>
      <c r="AX3" s="218">
        <v>31</v>
      </c>
      <c r="AY3" s="218">
        <v>30</v>
      </c>
      <c r="AZ3" s="218">
        <v>31</v>
      </c>
      <c r="BA3" s="218">
        <v>31</v>
      </c>
      <c r="BB3" s="218">
        <v>30</v>
      </c>
      <c r="BC3" s="218">
        <v>31</v>
      </c>
      <c r="BD3" s="218">
        <v>30</v>
      </c>
      <c r="BE3" s="336">
        <v>31</v>
      </c>
      <c r="BF3" s="336">
        <v>31</v>
      </c>
      <c r="BG3" s="336">
        <v>28</v>
      </c>
      <c r="BH3" s="218">
        <v>31</v>
      </c>
      <c r="BI3" s="212"/>
      <c r="BK3" s="205" t="s">
        <v>910</v>
      </c>
      <c r="BL3" s="206" t="s">
        <v>909</v>
      </c>
      <c r="BM3" s="218">
        <v>30</v>
      </c>
      <c r="BN3" s="218">
        <v>31</v>
      </c>
      <c r="BO3" s="336">
        <v>30</v>
      </c>
      <c r="BP3" s="336">
        <v>31</v>
      </c>
      <c r="BQ3" s="336">
        <v>31</v>
      </c>
      <c r="BR3" s="336">
        <v>30</v>
      </c>
      <c r="BS3" s="336">
        <v>31</v>
      </c>
      <c r="BT3" s="336">
        <v>30</v>
      </c>
      <c r="BU3" s="218">
        <v>31</v>
      </c>
      <c r="BV3" s="218">
        <v>31</v>
      </c>
      <c r="BW3" s="218">
        <v>28</v>
      </c>
      <c r="BX3" s="218">
        <v>31</v>
      </c>
      <c r="BY3" s="212"/>
    </row>
    <row r="4" spans="1:78">
      <c r="B4" s="646"/>
      <c r="C4" s="102" t="s">
        <v>109</v>
      </c>
      <c r="D4" s="18">
        <v>10000</v>
      </c>
      <c r="E4" s="21" t="s">
        <v>954</v>
      </c>
      <c r="H4" s="210" t="s">
        <v>907</v>
      </c>
      <c r="I4" s="211" t="s">
        <v>923</v>
      </c>
      <c r="J4" s="33">
        <f>空調!$I$16</f>
        <v>0.4</v>
      </c>
      <c r="K4" s="33">
        <f>空調!$I$16</f>
        <v>0.4</v>
      </c>
      <c r="L4" s="33">
        <f>空調!$I$16</f>
        <v>0.4</v>
      </c>
      <c r="M4" s="33">
        <f>空調!$I$16</f>
        <v>0.4</v>
      </c>
      <c r="N4" s="33">
        <f>空調!$I$16</f>
        <v>0.4</v>
      </c>
      <c r="O4" s="33">
        <f>空調!$I$16</f>
        <v>0.4</v>
      </c>
      <c r="P4" s="33">
        <f>空調!$I$16</f>
        <v>0.4</v>
      </c>
      <c r="Q4" s="33">
        <f>空調!$I$16</f>
        <v>0.4</v>
      </c>
      <c r="R4" s="33">
        <f>空調!$I$16</f>
        <v>0.4</v>
      </c>
      <c r="S4" s="33">
        <f>空調!$I$16</f>
        <v>0.4</v>
      </c>
      <c r="T4" s="33">
        <f>空調!$I$16</f>
        <v>0.4</v>
      </c>
      <c r="U4" s="33">
        <f>空調!$I$16</f>
        <v>0.4</v>
      </c>
      <c r="V4" s="213"/>
      <c r="X4" s="202" t="s">
        <v>907</v>
      </c>
      <c r="Y4" s="202" t="s">
        <v>104</v>
      </c>
      <c r="Z4" s="33">
        <f>空調!$J$16</f>
        <v>0.4</v>
      </c>
      <c r="AA4" s="33">
        <f>空調!$J$16</f>
        <v>0.4</v>
      </c>
      <c r="AB4" s="33">
        <f>空調!$J$16</f>
        <v>0.4</v>
      </c>
      <c r="AC4" s="33">
        <f>空調!$J$16</f>
        <v>0.4</v>
      </c>
      <c r="AD4" s="33">
        <f>空調!$J$16</f>
        <v>0.4</v>
      </c>
      <c r="AE4" s="33">
        <f>空調!$J$16</f>
        <v>0.4</v>
      </c>
      <c r="AF4" s="33">
        <f>空調!$J$16</f>
        <v>0.4</v>
      </c>
      <c r="AG4" s="33">
        <f>空調!$J$16</f>
        <v>0.4</v>
      </c>
      <c r="AH4" s="33">
        <f>空調!$J$16</f>
        <v>0.4</v>
      </c>
      <c r="AI4" s="33">
        <f>空調!$J$16</f>
        <v>0.4</v>
      </c>
      <c r="AJ4" s="33">
        <f>空調!$J$16</f>
        <v>0.4</v>
      </c>
      <c r="AK4" s="33">
        <f>空調!$J$16</f>
        <v>0.4</v>
      </c>
      <c r="AL4" s="213"/>
      <c r="AN4" s="646"/>
      <c r="AO4" s="102" t="s">
        <v>109</v>
      </c>
      <c r="AP4" s="18">
        <v>10000</v>
      </c>
      <c r="AQ4" s="21" t="s">
        <v>954</v>
      </c>
      <c r="AT4" s="226"/>
      <c r="AU4" s="219" t="s">
        <v>907</v>
      </c>
      <c r="AV4" s="220" t="s">
        <v>923</v>
      </c>
      <c r="AW4" s="33">
        <f>空調!$I$16</f>
        <v>0.4</v>
      </c>
      <c r="AX4" s="33">
        <f>空調!$I$16</f>
        <v>0.4</v>
      </c>
      <c r="AY4" s="33">
        <f>空調!$I$16</f>
        <v>0.4</v>
      </c>
      <c r="AZ4" s="33">
        <f>空調!$I$16</f>
        <v>0.4</v>
      </c>
      <c r="BA4" s="33">
        <f>空調!$I$16</f>
        <v>0.4</v>
      </c>
      <c r="BB4" s="33">
        <f>空調!$I$16</f>
        <v>0.4</v>
      </c>
      <c r="BC4" s="33">
        <f>空調!$I$16</f>
        <v>0.4</v>
      </c>
      <c r="BD4" s="33">
        <f>空調!$I$16</f>
        <v>0.4</v>
      </c>
      <c r="BE4" s="33">
        <f>空調!$I$16</f>
        <v>0.4</v>
      </c>
      <c r="BF4" s="33">
        <f>空調!$I$16</f>
        <v>0.4</v>
      </c>
      <c r="BG4" s="33">
        <f>空調!$I$16</f>
        <v>0.4</v>
      </c>
      <c r="BH4" s="33">
        <f>空調!$I$16</f>
        <v>0.4</v>
      </c>
      <c r="BI4" s="213"/>
      <c r="BK4" s="220" t="s">
        <v>907</v>
      </c>
      <c r="BL4" s="220" t="s">
        <v>104</v>
      </c>
      <c r="BM4" s="33">
        <f>空調!$J$16</f>
        <v>0.4</v>
      </c>
      <c r="BN4" s="33">
        <f>空調!$J$16</f>
        <v>0.4</v>
      </c>
      <c r="BO4" s="33">
        <f>空調!$J$16</f>
        <v>0.4</v>
      </c>
      <c r="BP4" s="33">
        <f>空調!$J$16</f>
        <v>0.4</v>
      </c>
      <c r="BQ4" s="33">
        <f>空調!$J$16</f>
        <v>0.4</v>
      </c>
      <c r="BR4" s="33">
        <f>空調!$J$16</f>
        <v>0.4</v>
      </c>
      <c r="BS4" s="33">
        <f>空調!$J$16</f>
        <v>0.4</v>
      </c>
      <c r="BT4" s="33">
        <f>空調!$J$16</f>
        <v>0.4</v>
      </c>
      <c r="BU4" s="33">
        <f>空調!$J$16</f>
        <v>0.4</v>
      </c>
      <c r="BV4" s="33">
        <f>空調!$J$16</f>
        <v>0.4</v>
      </c>
      <c r="BW4" s="33">
        <f>空調!$J$16</f>
        <v>0.4</v>
      </c>
      <c r="BX4" s="33">
        <f>空調!$J$16</f>
        <v>0.4</v>
      </c>
      <c r="BY4" s="213"/>
    </row>
    <row r="5" spans="1:78">
      <c r="B5" s="311" t="s">
        <v>393</v>
      </c>
      <c r="C5" s="102" t="s">
        <v>112</v>
      </c>
      <c r="D5" s="161">
        <v>24000</v>
      </c>
      <c r="E5" s="21" t="s">
        <v>954</v>
      </c>
      <c r="H5" s="210" t="s">
        <v>906</v>
      </c>
      <c r="I5" s="211" t="s">
        <v>923</v>
      </c>
      <c r="J5" s="33">
        <f>空調!$I$16</f>
        <v>0.4</v>
      </c>
      <c r="K5" s="33">
        <f>空調!$I$16</f>
        <v>0.4</v>
      </c>
      <c r="L5" s="33">
        <f>空調!$I$16</f>
        <v>0.4</v>
      </c>
      <c r="M5" s="33">
        <f>空調!$I$16</f>
        <v>0.4</v>
      </c>
      <c r="N5" s="33">
        <f>空調!$I$16</f>
        <v>0.4</v>
      </c>
      <c r="O5" s="33">
        <f>空調!$I$16</f>
        <v>0.4</v>
      </c>
      <c r="P5" s="33">
        <f>空調!$I$16</f>
        <v>0.4</v>
      </c>
      <c r="Q5" s="33">
        <f>空調!$I$16</f>
        <v>0.4</v>
      </c>
      <c r="R5" s="33">
        <f>空調!$I$16</f>
        <v>0.4</v>
      </c>
      <c r="S5" s="33">
        <f>空調!$I$16</f>
        <v>0.4</v>
      </c>
      <c r="T5" s="33">
        <f>空調!$I$16</f>
        <v>0.4</v>
      </c>
      <c r="U5" s="33">
        <f>空調!$I$16</f>
        <v>0.4</v>
      </c>
      <c r="V5" s="213"/>
      <c r="X5" s="202" t="s">
        <v>906</v>
      </c>
      <c r="Y5" s="202" t="s">
        <v>104</v>
      </c>
      <c r="Z5" s="33">
        <f>空調!$J$16</f>
        <v>0.4</v>
      </c>
      <c r="AA5" s="33">
        <f>空調!$J$16</f>
        <v>0.4</v>
      </c>
      <c r="AB5" s="33">
        <f>空調!$J$16</f>
        <v>0.4</v>
      </c>
      <c r="AC5" s="33">
        <f>空調!$J$16</f>
        <v>0.4</v>
      </c>
      <c r="AD5" s="33">
        <f>空調!$J$16</f>
        <v>0.4</v>
      </c>
      <c r="AE5" s="33">
        <f>空調!$J$16</f>
        <v>0.4</v>
      </c>
      <c r="AF5" s="33">
        <f>空調!$J$16</f>
        <v>0.4</v>
      </c>
      <c r="AG5" s="33">
        <f>空調!$J$16</f>
        <v>0.4</v>
      </c>
      <c r="AH5" s="33">
        <f>空調!$J$16</f>
        <v>0.4</v>
      </c>
      <c r="AI5" s="33">
        <f>空調!$J$16</f>
        <v>0.4</v>
      </c>
      <c r="AJ5" s="33">
        <f>空調!$J$16</f>
        <v>0.4</v>
      </c>
      <c r="AK5" s="33">
        <f>空調!$J$16</f>
        <v>0.4</v>
      </c>
      <c r="AL5" s="213"/>
      <c r="AN5" s="102" t="s">
        <v>393</v>
      </c>
      <c r="AO5" s="102" t="s">
        <v>112</v>
      </c>
      <c r="AP5" s="161">
        <v>24000</v>
      </c>
      <c r="AQ5" s="21" t="s">
        <v>954</v>
      </c>
      <c r="AT5" s="226"/>
      <c r="AU5" s="219" t="s">
        <v>906</v>
      </c>
      <c r="AV5" s="220" t="s">
        <v>923</v>
      </c>
      <c r="AW5" s="33">
        <f>空調!$I$16</f>
        <v>0.4</v>
      </c>
      <c r="AX5" s="33">
        <f>空調!$I$16</f>
        <v>0.4</v>
      </c>
      <c r="AY5" s="33">
        <f>空調!$I$16</f>
        <v>0.4</v>
      </c>
      <c r="AZ5" s="33">
        <f>空調!$I$16</f>
        <v>0.4</v>
      </c>
      <c r="BA5" s="33">
        <f>空調!$I$16</f>
        <v>0.4</v>
      </c>
      <c r="BB5" s="33">
        <f>空調!$I$16</f>
        <v>0.4</v>
      </c>
      <c r="BC5" s="33">
        <f>空調!$I$16</f>
        <v>0.4</v>
      </c>
      <c r="BD5" s="33">
        <f>空調!$I$16</f>
        <v>0.4</v>
      </c>
      <c r="BE5" s="33">
        <f>空調!$I$16</f>
        <v>0.4</v>
      </c>
      <c r="BF5" s="33">
        <f>空調!$I$16</f>
        <v>0.4</v>
      </c>
      <c r="BG5" s="33">
        <f>空調!$I$16</f>
        <v>0.4</v>
      </c>
      <c r="BH5" s="33">
        <f>空調!$I$16</f>
        <v>0.4</v>
      </c>
      <c r="BI5" s="213"/>
      <c r="BK5" s="220" t="s">
        <v>906</v>
      </c>
      <c r="BL5" s="220" t="s">
        <v>104</v>
      </c>
      <c r="BM5" s="33">
        <f>空調!$J$16</f>
        <v>0.4</v>
      </c>
      <c r="BN5" s="33">
        <f>空調!$J$16</f>
        <v>0.4</v>
      </c>
      <c r="BO5" s="33">
        <f>空調!$J$16</f>
        <v>0.4</v>
      </c>
      <c r="BP5" s="33">
        <f>空調!$J$16</f>
        <v>0.4</v>
      </c>
      <c r="BQ5" s="33">
        <f>空調!$J$16</f>
        <v>0.4</v>
      </c>
      <c r="BR5" s="33">
        <f>空調!$J$16</f>
        <v>0.4</v>
      </c>
      <c r="BS5" s="33">
        <f>空調!$J$16</f>
        <v>0.4</v>
      </c>
      <c r="BT5" s="33">
        <f>空調!$J$16</f>
        <v>0.4</v>
      </c>
      <c r="BU5" s="33">
        <f>空調!$J$16</f>
        <v>0.4</v>
      </c>
      <c r="BV5" s="33">
        <f>空調!$J$16</f>
        <v>0.4</v>
      </c>
      <c r="BW5" s="33">
        <f>空調!$J$16</f>
        <v>0.4</v>
      </c>
      <c r="BX5" s="33">
        <f>空調!$J$16</f>
        <v>0.4</v>
      </c>
      <c r="BY5" s="213"/>
    </row>
    <row r="6" spans="1:78" ht="21.5">
      <c r="I6" s="209" t="s">
        <v>914</v>
      </c>
      <c r="J6">
        <v>7</v>
      </c>
      <c r="K6">
        <v>5</v>
      </c>
      <c r="L6">
        <v>4</v>
      </c>
      <c r="M6">
        <v>1</v>
      </c>
      <c r="N6">
        <v>2</v>
      </c>
      <c r="O6">
        <v>3</v>
      </c>
      <c r="P6">
        <v>6</v>
      </c>
      <c r="Q6">
        <v>8</v>
      </c>
      <c r="R6" s="386" t="s">
        <v>1052</v>
      </c>
      <c r="S6" s="180"/>
      <c r="T6" s="180"/>
      <c r="U6">
        <v>9</v>
      </c>
      <c r="Z6">
        <v>6</v>
      </c>
      <c r="AA6">
        <v>7</v>
      </c>
      <c r="AB6" s="386" t="s">
        <v>1054</v>
      </c>
      <c r="AC6" s="180"/>
      <c r="AD6" s="180"/>
      <c r="AE6" s="180"/>
      <c r="AF6">
        <v>8</v>
      </c>
      <c r="AG6">
        <v>5</v>
      </c>
      <c r="AH6">
        <v>4</v>
      </c>
      <c r="AI6">
        <v>1</v>
      </c>
      <c r="AJ6">
        <v>2</v>
      </c>
      <c r="AK6">
        <v>3</v>
      </c>
      <c r="AM6" s="204"/>
      <c r="AU6" s="204"/>
      <c r="AV6" s="209" t="s">
        <v>914</v>
      </c>
      <c r="AW6">
        <v>7</v>
      </c>
      <c r="AX6">
        <v>5</v>
      </c>
      <c r="AY6">
        <v>4</v>
      </c>
      <c r="AZ6">
        <v>1</v>
      </c>
      <c r="BA6">
        <v>2</v>
      </c>
      <c r="BB6">
        <v>3</v>
      </c>
      <c r="BC6">
        <v>6</v>
      </c>
      <c r="BD6">
        <v>8</v>
      </c>
      <c r="BE6" s="180"/>
      <c r="BF6" s="180"/>
      <c r="BG6" s="180"/>
      <c r="BH6">
        <v>9</v>
      </c>
      <c r="BK6" s="204"/>
      <c r="BM6">
        <v>6</v>
      </c>
      <c r="BN6">
        <v>7</v>
      </c>
      <c r="BO6" s="180"/>
      <c r="BP6" s="180"/>
      <c r="BQ6" s="180"/>
      <c r="BR6" s="180"/>
      <c r="BS6">
        <v>8</v>
      </c>
      <c r="BT6">
        <v>5</v>
      </c>
      <c r="BU6">
        <v>4</v>
      </c>
      <c r="BV6">
        <v>1</v>
      </c>
      <c r="BW6">
        <v>2</v>
      </c>
      <c r="BX6">
        <v>3</v>
      </c>
      <c r="BZ6" s="204"/>
    </row>
    <row r="7" spans="1:78" ht="21.5">
      <c r="B7" s="204" t="s">
        <v>991</v>
      </c>
      <c r="H7" s="204" t="s">
        <v>989</v>
      </c>
      <c r="I7" s="209"/>
      <c r="R7" s="386" t="s">
        <v>1055</v>
      </c>
      <c r="S7" s="386"/>
      <c r="T7" s="386"/>
      <c r="X7" s="204" t="s">
        <v>989</v>
      </c>
      <c r="AB7" s="386" t="s">
        <v>1055</v>
      </c>
      <c r="AC7" s="386"/>
      <c r="AD7" s="386"/>
      <c r="AM7" s="204"/>
      <c r="AU7" s="204" t="s">
        <v>989</v>
      </c>
      <c r="AV7" s="209"/>
      <c r="BE7" s="180"/>
      <c r="BF7" s="180"/>
      <c r="BG7" s="180"/>
      <c r="BK7" s="204" t="s">
        <v>989</v>
      </c>
      <c r="BO7" s="180"/>
      <c r="BP7" s="180"/>
      <c r="BQ7" s="180"/>
      <c r="BZ7" s="204"/>
    </row>
    <row r="8" spans="1:78">
      <c r="B8" s="208" t="s">
        <v>988</v>
      </c>
      <c r="H8" s="208" t="s">
        <v>990</v>
      </c>
      <c r="I8" s="209"/>
      <c r="X8" s="208" t="s">
        <v>990</v>
      </c>
      <c r="AN8" s="208" t="s">
        <v>985</v>
      </c>
      <c r="AU8" s="208" t="s">
        <v>990</v>
      </c>
      <c r="AV8" s="209"/>
      <c r="BK8" s="208" t="s">
        <v>990</v>
      </c>
    </row>
    <row r="9" spans="1:78">
      <c r="B9" s="215" t="s">
        <v>916</v>
      </c>
      <c r="C9" s="206" t="s">
        <v>922</v>
      </c>
      <c r="D9" s="206" t="s">
        <v>921</v>
      </c>
      <c r="E9" s="206" t="s">
        <v>932</v>
      </c>
      <c r="F9" s="206" t="s">
        <v>924</v>
      </c>
      <c r="H9" s="215" t="s">
        <v>916</v>
      </c>
      <c r="I9" s="206" t="s">
        <v>909</v>
      </c>
      <c r="J9" s="201" t="s">
        <v>894</v>
      </c>
      <c r="K9" s="201" t="s">
        <v>895</v>
      </c>
      <c r="L9" s="201" t="s">
        <v>896</v>
      </c>
      <c r="M9" s="201" t="s">
        <v>897</v>
      </c>
      <c r="N9" s="201" t="s">
        <v>898</v>
      </c>
      <c r="O9" s="201" t="s">
        <v>899</v>
      </c>
      <c r="P9" s="201" t="s">
        <v>900</v>
      </c>
      <c r="Q9" s="201" t="s">
        <v>901</v>
      </c>
      <c r="R9" s="201" t="s">
        <v>902</v>
      </c>
      <c r="S9" s="201" t="s">
        <v>903</v>
      </c>
      <c r="T9" s="201" t="s">
        <v>904</v>
      </c>
      <c r="U9" s="201" t="s">
        <v>905</v>
      </c>
      <c r="V9" s="212"/>
      <c r="X9" s="216" t="s">
        <v>917</v>
      </c>
      <c r="Y9" s="206" t="s">
        <v>909</v>
      </c>
      <c r="Z9" s="201" t="s">
        <v>894</v>
      </c>
      <c r="AA9" s="201" t="s">
        <v>895</v>
      </c>
      <c r="AB9" s="201" t="s">
        <v>896</v>
      </c>
      <c r="AC9" s="201" t="s">
        <v>897</v>
      </c>
      <c r="AD9" s="201" t="s">
        <v>898</v>
      </c>
      <c r="AE9" s="201" t="s">
        <v>899</v>
      </c>
      <c r="AF9" s="201" t="s">
        <v>900</v>
      </c>
      <c r="AG9" s="201" t="s">
        <v>901</v>
      </c>
      <c r="AH9" s="201" t="s">
        <v>902</v>
      </c>
      <c r="AI9" s="201" t="s">
        <v>903</v>
      </c>
      <c r="AJ9" s="201" t="s">
        <v>904</v>
      </c>
      <c r="AK9" s="201" t="s">
        <v>905</v>
      </c>
      <c r="AL9" s="212"/>
      <c r="AN9" s="215" t="s">
        <v>925</v>
      </c>
      <c r="AO9" s="206" t="s">
        <v>922</v>
      </c>
      <c r="AP9" s="206" t="s">
        <v>930</v>
      </c>
      <c r="AQ9" s="206" t="s">
        <v>931</v>
      </c>
      <c r="AR9" s="206" t="s">
        <v>932</v>
      </c>
      <c r="AS9" s="206" t="s">
        <v>924</v>
      </c>
      <c r="AU9" s="215" t="s">
        <v>925</v>
      </c>
      <c r="AV9" s="206" t="s">
        <v>909</v>
      </c>
      <c r="AW9" s="218" t="s">
        <v>894</v>
      </c>
      <c r="AX9" s="218" t="s">
        <v>895</v>
      </c>
      <c r="AY9" s="218" t="s">
        <v>896</v>
      </c>
      <c r="AZ9" s="218" t="s">
        <v>897</v>
      </c>
      <c r="BA9" s="218" t="s">
        <v>898</v>
      </c>
      <c r="BB9" s="218" t="s">
        <v>899</v>
      </c>
      <c r="BC9" s="218" t="s">
        <v>900</v>
      </c>
      <c r="BD9" s="218" t="s">
        <v>901</v>
      </c>
      <c r="BE9" s="218" t="s">
        <v>902</v>
      </c>
      <c r="BF9" s="218" t="s">
        <v>903</v>
      </c>
      <c r="BG9" s="218" t="s">
        <v>904</v>
      </c>
      <c r="BH9" s="218" t="s">
        <v>905</v>
      </c>
      <c r="BI9" s="212"/>
      <c r="BK9" s="216" t="s">
        <v>926</v>
      </c>
      <c r="BL9" s="206" t="s">
        <v>909</v>
      </c>
      <c r="BM9" s="218" t="s">
        <v>894</v>
      </c>
      <c r="BN9" s="218" t="s">
        <v>895</v>
      </c>
      <c r="BO9" s="218" t="s">
        <v>896</v>
      </c>
      <c r="BP9" s="218" t="s">
        <v>897</v>
      </c>
      <c r="BQ9" s="218" t="s">
        <v>898</v>
      </c>
      <c r="BR9" s="218" t="s">
        <v>899</v>
      </c>
      <c r="BS9" s="218" t="s">
        <v>900</v>
      </c>
      <c r="BT9" s="218" t="s">
        <v>901</v>
      </c>
      <c r="BU9" s="218" t="s">
        <v>902</v>
      </c>
      <c r="BV9" s="218" t="s">
        <v>903</v>
      </c>
      <c r="BW9" s="218" t="s">
        <v>904</v>
      </c>
      <c r="BX9" s="218" t="s">
        <v>905</v>
      </c>
      <c r="BY9" s="212"/>
    </row>
    <row r="10" spans="1:78">
      <c r="A10" s="180"/>
      <c r="B10" s="205" t="s">
        <v>49</v>
      </c>
      <c r="C10" s="387" t="s">
        <v>979</v>
      </c>
      <c r="D10" s="253">
        <f>IF(空調!E22="",1,MIN(1.5,(2025-空調!E22)*0.02+1))</f>
        <v>1</v>
      </c>
      <c r="E10" s="254">
        <f>空調!H22</f>
        <v>0</v>
      </c>
      <c r="F10" s="147">
        <f>IF(E10=0,0,IF(空調!H22="13A（都市ガス）",VLOOKUP("13A",空調負荷率!$C$3:$E$5,2,FALSE),IF(空調!H22="12A（都市ガス）",VLOOKUP("12A",空調負荷率!$C$3:$E$5,2,FALSE),VLOOKUP("LP",空調負荷率!$C$3:$E$5,2,FALSE))))</f>
        <v>0</v>
      </c>
      <c r="H10" s="205" t="s">
        <v>49</v>
      </c>
      <c r="I10" s="251">
        <f>空調!$M22</f>
        <v>0</v>
      </c>
      <c r="J10" s="252">
        <f>IF($C10="事務所",MIN(I10-SUM(K10:P10,U10),J$3),MIN(I10-SUM(K10:P10),J$3))</f>
        <v>0</v>
      </c>
      <c r="K10" s="252">
        <f t="shared" ref="K10:K29" si="0">IF($C10="事務所",MIN(I10-SUM(L10:O10),K$3),MIN(I10-SUM(L10:O10),K$3))</f>
        <v>0</v>
      </c>
      <c r="L10" s="252">
        <f>IF($C10="事務所",MIN(I10-SUM(M10:O10),$L$3),MIN(I10-SUM(M10:O10),$L$3))</f>
        <v>0</v>
      </c>
      <c r="M10" s="252">
        <f>IF($C10="事務所",MIN(I10-SUM(N10),M$3),MIN(I10,M$3))</f>
        <v>0</v>
      </c>
      <c r="N10" s="252">
        <f>IF($C10="事務所",MIN(I10,N$3),MIN(I10-SUM(M10),N$3))</f>
        <v>0</v>
      </c>
      <c r="O10" s="252">
        <f>IF($C10="事務所",MIN(I10-SUM(M10:N10),O$3),MIN(I10-SUM(M10:N10),O$3))</f>
        <v>0</v>
      </c>
      <c r="P10" s="252">
        <f t="shared" ref="P10:P29" si="1">IF($C10="事務所",MIN(I10-SUM(K10:O10),P$3),MIN(I10-SUM(K10:O10),$P$3))</f>
        <v>0</v>
      </c>
      <c r="Q10" s="252">
        <f>IF($C10="事務所",MIN(I10-SUM(J10:P10,U10),Q$3),MIN(I10-SUM(J10:P10),Q$3))</f>
        <v>0</v>
      </c>
      <c r="R10" s="384">
        <f>IF($C10="事務所",MIN(I10-SUM(J10:Q10,U10),SUM(R$3:T$3)),MIN(I10-SUM(J10:Q10,U10),SUM(R$3:T$3)))</f>
        <v>0</v>
      </c>
      <c r="S10" s="252" t="s">
        <v>382</v>
      </c>
      <c r="T10" s="252" t="s">
        <v>382</v>
      </c>
      <c r="U10" s="252">
        <f t="shared" ref="U10:U29" si="2">IF($C10="事務所",MIN(I10-SUM(K10:P10),U$3),MIN(I10-SUM(J10:Q10),U$3))</f>
        <v>0</v>
      </c>
      <c r="V10" s="212"/>
      <c r="X10" s="205" t="s">
        <v>49</v>
      </c>
      <c r="Y10" s="251">
        <f>空調!$R22</f>
        <v>0</v>
      </c>
      <c r="Z10" s="252">
        <f t="shared" ref="Z10:Z29" si="3">IF($C10="事務所",MIN(Y10-SUM(AG10:AK10),Z$3),MIN(Y10-SUM(AG10:AK10),Z$3))</f>
        <v>0</v>
      </c>
      <c r="AA10" s="252">
        <f>IF($C10="事務所",MIN(Y10-SUM(AG10:AK10,Z10),AA$3),MIN(Y10-SUM(AG10:AK10,Z10),AA$3))</f>
        <v>0</v>
      </c>
      <c r="AB10" s="384">
        <f>IF($C10="事務所",MIN(Y10-SUM(AG10:AK10,Z10:AA10),SUM(AB$3:AF$3)),MIN(Y10-SUM(AF10:AK10,Z10:AA10),SUM(AB$3:AE$3)))</f>
        <v>0</v>
      </c>
      <c r="AC10" s="252" t="s">
        <v>382</v>
      </c>
      <c r="AD10" s="252" t="s">
        <v>382</v>
      </c>
      <c r="AE10" s="252" t="s">
        <v>382</v>
      </c>
      <c r="AF10" s="252" t="str">
        <f>IF($C10="事務所","ー",MIN(Y10-SUM(AG10:AK10,Z10:AA10),AF$3))</f>
        <v>ー</v>
      </c>
      <c r="AG10" s="252">
        <f t="shared" ref="AG10:AG29" si="4">IF($C10="事務所",MIN(Y10-SUM(AH10:AK10),AG$3),MIN(Y10-SUM(AH10:AK10),AG$3))</f>
        <v>0</v>
      </c>
      <c r="AH10" s="252">
        <f t="shared" ref="AH10:AH29" si="5">IF($C10="事務所",MIN(Y10-SUM(AI10:AJ10),AH$3),MIN(Y10-SUM(AI10:AK10),AH$3))</f>
        <v>0</v>
      </c>
      <c r="AI10" s="252">
        <f t="shared" ref="AI10:AI29" si="6">IF($C10="事務所",MIN(Y10,AI$3),MIN(Y10,AI$3))</f>
        <v>0</v>
      </c>
      <c r="AJ10" s="252">
        <f t="shared" ref="AJ10:AJ29" si="7">IF($C10="事務所",MIN(Y10-SUM(AI10),AJ$3),MIN(Y10-SUM(AI10),AJ$3))</f>
        <v>0</v>
      </c>
      <c r="AK10" s="252">
        <f t="shared" ref="AK10:AK29" si="8">IF($C10="事務所",MIN(Y10-SUM(AH10:AJ10),AK$3),MIN(Y10-SUM(AI10:AJ10),AK$3))</f>
        <v>0</v>
      </c>
      <c r="AL10" s="212"/>
      <c r="AN10" s="205" t="s">
        <v>49</v>
      </c>
      <c r="AO10" s="250" t="str">
        <f>C10</f>
        <v>事務所</v>
      </c>
      <c r="AP10" s="257">
        <f>空調!F22</f>
        <v>0</v>
      </c>
      <c r="AQ10" s="257">
        <f>空調!Y22</f>
        <v>0</v>
      </c>
      <c r="AR10" s="254">
        <f>空調!AA22</f>
        <v>0</v>
      </c>
      <c r="AS10" s="147">
        <f>IF(AR10=0,0,IF(AR10="13A（都市ガス）",VLOOKUP("13A",空調負荷率!$AO$3:$AQ$5,2,FALSE),IF(AR10="12A（都市ガス）",VLOOKUP("12A",空調負荷率!$AO$3:$AQ$5,2,FALSE),VLOOKUP("LP",空調負荷率!$C$3:$E$5,2,FALSE))))</f>
        <v>0</v>
      </c>
      <c r="AU10" s="205" t="s">
        <v>49</v>
      </c>
      <c r="AV10" s="250">
        <f t="shared" ref="AV10:AV29" si="9">I10</f>
        <v>0</v>
      </c>
      <c r="AW10" s="250">
        <f t="shared" ref="AW10:AW29" si="10">J10</f>
        <v>0</v>
      </c>
      <c r="AX10" s="250">
        <f t="shared" ref="AX10:AX29" si="11">K10</f>
        <v>0</v>
      </c>
      <c r="AY10" s="250">
        <f t="shared" ref="AY10:AY29" si="12">L10</f>
        <v>0</v>
      </c>
      <c r="AZ10" s="250">
        <f t="shared" ref="AZ10:AZ29" si="13">M10</f>
        <v>0</v>
      </c>
      <c r="BA10" s="250">
        <f t="shared" ref="BA10:BA29" si="14">N10</f>
        <v>0</v>
      </c>
      <c r="BB10" s="250">
        <f t="shared" ref="BB10:BB29" si="15">O10</f>
        <v>0</v>
      </c>
      <c r="BC10" s="250">
        <f t="shared" ref="BC10:BC29" si="16">P10</f>
        <v>0</v>
      </c>
      <c r="BD10" s="250">
        <f t="shared" ref="BD10:BD29" si="17">Q10</f>
        <v>0</v>
      </c>
      <c r="BE10" s="250">
        <f t="shared" ref="BE10:BE29" si="18">R10</f>
        <v>0</v>
      </c>
      <c r="BF10" s="250" t="str">
        <f t="shared" ref="BF10:BF29" si="19">S10</f>
        <v>ー</v>
      </c>
      <c r="BG10" s="250" t="str">
        <f t="shared" ref="BG10:BG29" si="20">T10</f>
        <v>ー</v>
      </c>
      <c r="BH10" s="250">
        <f t="shared" ref="BH10:BH29" si="21">U10</f>
        <v>0</v>
      </c>
      <c r="BI10" s="212"/>
      <c r="BK10" s="205" t="s">
        <v>49</v>
      </c>
      <c r="BL10" s="251">
        <f t="shared" ref="BL10:BL29" si="22">Y10</f>
        <v>0</v>
      </c>
      <c r="BM10" s="251">
        <f t="shared" ref="BM10:BM29" si="23">Z10</f>
        <v>0</v>
      </c>
      <c r="BN10" s="251">
        <f t="shared" ref="BN10:BN29" si="24">AA10</f>
        <v>0</v>
      </c>
      <c r="BO10" s="251">
        <f t="shared" ref="BO10:BO29" si="25">AB10</f>
        <v>0</v>
      </c>
      <c r="BP10" s="251" t="str">
        <f t="shared" ref="BP10:BP29" si="26">AC10</f>
        <v>ー</v>
      </c>
      <c r="BQ10" s="251" t="str">
        <f t="shared" ref="BQ10:BQ29" si="27">AD10</f>
        <v>ー</v>
      </c>
      <c r="BR10" s="251" t="str">
        <f t="shared" ref="BR10:BR29" si="28">AE10</f>
        <v>ー</v>
      </c>
      <c r="BS10" s="251" t="str">
        <f t="shared" ref="BS10:BS29" si="29">AF10</f>
        <v>ー</v>
      </c>
      <c r="BT10" s="251">
        <f t="shared" ref="BT10:BT29" si="30">AG10</f>
        <v>0</v>
      </c>
      <c r="BU10" s="251">
        <f t="shared" ref="BU10:BU29" si="31">AH10</f>
        <v>0</v>
      </c>
      <c r="BV10" s="251">
        <f t="shared" ref="BV10:BV29" si="32">AI10</f>
        <v>0</v>
      </c>
      <c r="BW10" s="251">
        <f t="shared" ref="BW10:BW29" si="33">AJ10</f>
        <v>0</v>
      </c>
      <c r="BX10" s="251">
        <f t="shared" ref="BX10:BX29" si="34">AK10</f>
        <v>0</v>
      </c>
      <c r="BY10" s="212"/>
    </row>
    <row r="11" spans="1:78">
      <c r="A11" s="180"/>
      <c r="B11" s="205" t="s">
        <v>50</v>
      </c>
      <c r="C11" s="387" t="s">
        <v>979</v>
      </c>
      <c r="D11" s="253">
        <f>IF(空調!E23="",1,MIN(1.5,(2025-空調!E23)*0.02+1))</f>
        <v>1</v>
      </c>
      <c r="E11" s="254">
        <f>空調!H23</f>
        <v>0</v>
      </c>
      <c r="F11" s="147">
        <f>IF(空調!H23="",0,IF(空調!H23="13A（都市ガス）",VLOOKUP("13A",空調負荷率!$C$3:$E$5,2,FALSE),IF(空調!H23="12A（都市ガス）",VLOOKUP("12A",空調負荷率!$C$3:$E$5,2,FALSE),VLOOKUP("LP",空調負荷率!$C$3:$E$5,2,FALSE))))</f>
        <v>0</v>
      </c>
      <c r="H11" s="205" t="s">
        <v>50</v>
      </c>
      <c r="I11" s="251">
        <f>空調!$M23</f>
        <v>0</v>
      </c>
      <c r="J11" s="252">
        <f t="shared" ref="J11:J29" si="35">IF($C11="事務所",MIN(I11-SUM(K11:P11,U11),J$3),MIN(I11-SUM(K11:P11),J$3))</f>
        <v>0</v>
      </c>
      <c r="K11" s="252">
        <f t="shared" si="0"/>
        <v>0</v>
      </c>
      <c r="L11" s="252">
        <f t="shared" ref="L11:L29" si="36">IF($C11="事務所",MIN(I11-SUM(M11:O11),$L$3),MIN(I11-SUM(M11:O11),$L$3))</f>
        <v>0</v>
      </c>
      <c r="M11" s="252">
        <f t="shared" ref="M11:M29" si="37">IF($C11="事務所",MIN(I11-SUM(N11),M$3),MIN(I11,M$3))</f>
        <v>0</v>
      </c>
      <c r="N11" s="252">
        <f t="shared" ref="N11:N29" si="38">IF($C11="事務所",MIN(I11,N$3),MIN(I11-SUM(M11),N$3))</f>
        <v>0</v>
      </c>
      <c r="O11" s="252">
        <f t="shared" ref="O11:O29" si="39">IF($C11="事務所",MIN(I11-SUM(M11:N11),O$3),MIN(I11-SUM(M11:N11),O$3))</f>
        <v>0</v>
      </c>
      <c r="P11" s="252">
        <f t="shared" si="1"/>
        <v>0</v>
      </c>
      <c r="Q11" s="252">
        <f t="shared" ref="Q11:Q29" si="40">IF($C11="事務所",MIN(I11-SUM(J11:P11,U11),Q$3),MIN(I11-SUM(J11:P11),Q$3))</f>
        <v>0</v>
      </c>
      <c r="R11" s="384">
        <f t="shared" ref="R11:R28" si="41">IF($C11="事務所",MIN(I11-SUM(J11:Q11,U11),SUM(R$3:T$3)),MIN(I11-SUM(J11:Q11,U11),SUM(R$3:T$3)))</f>
        <v>0</v>
      </c>
      <c r="S11" s="252" t="s">
        <v>382</v>
      </c>
      <c r="T11" s="252" t="s">
        <v>382</v>
      </c>
      <c r="U11" s="252">
        <f t="shared" si="2"/>
        <v>0</v>
      </c>
      <c r="V11" s="212"/>
      <c r="X11" s="205" t="s">
        <v>50</v>
      </c>
      <c r="Y11" s="251">
        <f>空調!$R23</f>
        <v>0</v>
      </c>
      <c r="Z11" s="252">
        <f t="shared" si="3"/>
        <v>0</v>
      </c>
      <c r="AA11" s="252">
        <f t="shared" ref="AA11:AA29" si="42">IF($C11="事務所",MIN(Y11-SUM(AG11:AK11,Z11),AA$3),MIN(Y11-SUM(AG11:AK11,Z11),AA$3))</f>
        <v>0</v>
      </c>
      <c r="AB11" s="384">
        <f t="shared" ref="AB11:AB28" si="43">IF($C11="事務所",MIN(Y11-SUM(AG11:AK11,Z11:AA11),SUM(AB$3:AF$3)),MIN(Y11-SUM(AF11:AK11,Z11:AA11),SUM(AB$3:AE$3)))</f>
        <v>0</v>
      </c>
      <c r="AC11" s="252" t="s">
        <v>382</v>
      </c>
      <c r="AD11" s="252" t="s">
        <v>382</v>
      </c>
      <c r="AE11" s="252" t="s">
        <v>382</v>
      </c>
      <c r="AF11" s="252" t="str">
        <f t="shared" ref="AF11:AF29" si="44">IF($C11="事務所","ー",MIN(Y11-SUM(AG11:AK11,Z11:AA11),AF$3))</f>
        <v>ー</v>
      </c>
      <c r="AG11" s="252">
        <f t="shared" si="4"/>
        <v>0</v>
      </c>
      <c r="AH11" s="252">
        <f t="shared" si="5"/>
        <v>0</v>
      </c>
      <c r="AI11" s="252">
        <f t="shared" si="6"/>
        <v>0</v>
      </c>
      <c r="AJ11" s="252">
        <f t="shared" si="7"/>
        <v>0</v>
      </c>
      <c r="AK11" s="252">
        <f t="shared" si="8"/>
        <v>0</v>
      </c>
      <c r="AL11" s="212"/>
      <c r="AN11" s="205" t="s">
        <v>50</v>
      </c>
      <c r="AO11" s="250" t="str">
        <f t="shared" ref="AO11:AO29" si="45">C11</f>
        <v>事務所</v>
      </c>
      <c r="AP11" s="257">
        <f>空調!F23</f>
        <v>0</v>
      </c>
      <c r="AQ11" s="257">
        <f>空調!Y23</f>
        <v>0</v>
      </c>
      <c r="AR11" s="254">
        <f>空調!AA23</f>
        <v>0</v>
      </c>
      <c r="AS11" s="147">
        <f>IF(AR11=0,0,IF(AR11="13A（都市ガス）",VLOOKUP("13A",空調負荷率!$AO$3:$AQ$5,2,FALSE),IF(AR11="12A（都市ガス）",VLOOKUP("12A",空調負荷率!$AO$3:$AQ$5,2,FALSE),VLOOKUP("LP",空調負荷率!$C$3:$E$5,2,FALSE))))</f>
        <v>0</v>
      </c>
      <c r="AU11" s="205" t="s">
        <v>50</v>
      </c>
      <c r="AV11" s="250">
        <f t="shared" si="9"/>
        <v>0</v>
      </c>
      <c r="AW11" s="250">
        <f t="shared" si="10"/>
        <v>0</v>
      </c>
      <c r="AX11" s="250">
        <f t="shared" si="11"/>
        <v>0</v>
      </c>
      <c r="AY11" s="250">
        <f t="shared" si="12"/>
        <v>0</v>
      </c>
      <c r="AZ11" s="250">
        <f t="shared" si="13"/>
        <v>0</v>
      </c>
      <c r="BA11" s="250">
        <f t="shared" si="14"/>
        <v>0</v>
      </c>
      <c r="BB11" s="250">
        <f t="shared" si="15"/>
        <v>0</v>
      </c>
      <c r="BC11" s="250">
        <f t="shared" si="16"/>
        <v>0</v>
      </c>
      <c r="BD11" s="250">
        <f t="shared" si="17"/>
        <v>0</v>
      </c>
      <c r="BE11" s="250">
        <f t="shared" si="18"/>
        <v>0</v>
      </c>
      <c r="BF11" s="250" t="str">
        <f t="shared" si="19"/>
        <v>ー</v>
      </c>
      <c r="BG11" s="250" t="str">
        <f t="shared" si="20"/>
        <v>ー</v>
      </c>
      <c r="BH11" s="250">
        <f t="shared" si="21"/>
        <v>0</v>
      </c>
      <c r="BI11" s="212"/>
      <c r="BK11" s="205" t="s">
        <v>50</v>
      </c>
      <c r="BL11" s="251">
        <f t="shared" si="22"/>
        <v>0</v>
      </c>
      <c r="BM11" s="251">
        <f t="shared" si="23"/>
        <v>0</v>
      </c>
      <c r="BN11" s="251">
        <f t="shared" si="24"/>
        <v>0</v>
      </c>
      <c r="BO11" s="251">
        <f t="shared" si="25"/>
        <v>0</v>
      </c>
      <c r="BP11" s="251" t="str">
        <f t="shared" si="26"/>
        <v>ー</v>
      </c>
      <c r="BQ11" s="251" t="str">
        <f t="shared" si="27"/>
        <v>ー</v>
      </c>
      <c r="BR11" s="251" t="str">
        <f t="shared" si="28"/>
        <v>ー</v>
      </c>
      <c r="BS11" s="251" t="str">
        <f t="shared" si="29"/>
        <v>ー</v>
      </c>
      <c r="BT11" s="251">
        <f t="shared" si="30"/>
        <v>0</v>
      </c>
      <c r="BU11" s="251">
        <f t="shared" si="31"/>
        <v>0</v>
      </c>
      <c r="BV11" s="251">
        <f t="shared" si="32"/>
        <v>0</v>
      </c>
      <c r="BW11" s="251">
        <f t="shared" si="33"/>
        <v>0</v>
      </c>
      <c r="BX11" s="251">
        <f t="shared" si="34"/>
        <v>0</v>
      </c>
      <c r="BY11" s="212"/>
    </row>
    <row r="12" spans="1:78">
      <c r="B12" s="205" t="s">
        <v>51</v>
      </c>
      <c r="C12" s="387" t="s">
        <v>979</v>
      </c>
      <c r="D12" s="253">
        <f>IF(空調!E24="",1,MIN(1.5,(2025-空調!E24)*0.02+1))</f>
        <v>1</v>
      </c>
      <c r="E12" s="254">
        <f>空調!H24</f>
        <v>0</v>
      </c>
      <c r="F12" s="147">
        <f>IF(空調!H24="",0,IF(空調!H24="13A（都市ガス）",VLOOKUP("13A",空調負荷率!$C$3:$E$5,2,FALSE),IF(空調!H24="12A（都市ガス）",VLOOKUP("12A",空調負荷率!$C$3:$E$5,2,FALSE),VLOOKUP("LP",空調負荷率!$C$3:$E$5,2,FALSE))))</f>
        <v>0</v>
      </c>
      <c r="H12" s="205" t="s">
        <v>51</v>
      </c>
      <c r="I12" s="251">
        <f>空調!$M24</f>
        <v>0</v>
      </c>
      <c r="J12" s="252">
        <f t="shared" si="35"/>
        <v>0</v>
      </c>
      <c r="K12" s="252">
        <f t="shared" si="0"/>
        <v>0</v>
      </c>
      <c r="L12" s="252">
        <f t="shared" si="36"/>
        <v>0</v>
      </c>
      <c r="M12" s="252">
        <f t="shared" si="37"/>
        <v>0</v>
      </c>
      <c r="N12" s="252">
        <f t="shared" si="38"/>
        <v>0</v>
      </c>
      <c r="O12" s="252">
        <f t="shared" si="39"/>
        <v>0</v>
      </c>
      <c r="P12" s="252">
        <f t="shared" si="1"/>
        <v>0</v>
      </c>
      <c r="Q12" s="252">
        <f t="shared" si="40"/>
        <v>0</v>
      </c>
      <c r="R12" s="384">
        <f t="shared" si="41"/>
        <v>0</v>
      </c>
      <c r="S12" s="252" t="s">
        <v>382</v>
      </c>
      <c r="T12" s="252" t="s">
        <v>382</v>
      </c>
      <c r="U12" s="252">
        <f t="shared" si="2"/>
        <v>0</v>
      </c>
      <c r="V12" s="212"/>
      <c r="X12" s="205" t="s">
        <v>51</v>
      </c>
      <c r="Y12" s="251">
        <f>空調!$R24</f>
        <v>0</v>
      </c>
      <c r="Z12" s="252">
        <f t="shared" si="3"/>
        <v>0</v>
      </c>
      <c r="AA12" s="252">
        <f t="shared" si="42"/>
        <v>0</v>
      </c>
      <c r="AB12" s="384">
        <f t="shared" si="43"/>
        <v>0</v>
      </c>
      <c r="AC12" s="252" t="s">
        <v>382</v>
      </c>
      <c r="AD12" s="252" t="s">
        <v>382</v>
      </c>
      <c r="AE12" s="252" t="s">
        <v>382</v>
      </c>
      <c r="AF12" s="252" t="str">
        <f t="shared" si="44"/>
        <v>ー</v>
      </c>
      <c r="AG12" s="252">
        <f t="shared" si="4"/>
        <v>0</v>
      </c>
      <c r="AH12" s="252">
        <f t="shared" si="5"/>
        <v>0</v>
      </c>
      <c r="AI12" s="252">
        <f t="shared" si="6"/>
        <v>0</v>
      </c>
      <c r="AJ12" s="252">
        <f t="shared" si="7"/>
        <v>0</v>
      </c>
      <c r="AK12" s="252">
        <f t="shared" si="8"/>
        <v>0</v>
      </c>
      <c r="AL12" s="212"/>
      <c r="AN12" s="205" t="s">
        <v>51</v>
      </c>
      <c r="AO12" s="250" t="str">
        <f t="shared" si="45"/>
        <v>事務所</v>
      </c>
      <c r="AP12" s="257">
        <f>空調!F24</f>
        <v>0</v>
      </c>
      <c r="AQ12" s="257">
        <f>空調!Y24</f>
        <v>0</v>
      </c>
      <c r="AR12" s="254">
        <f>空調!AA24</f>
        <v>0</v>
      </c>
      <c r="AS12" s="147">
        <f>IF(AR12=0,0,IF(AR12="13A（都市ガス）",VLOOKUP("13A",空調負荷率!$AO$3:$AQ$5,2,FALSE),IF(AR12="12A（都市ガス）",VLOOKUP("12A",空調負荷率!$AO$3:$AQ$5,2,FALSE),VLOOKUP("LP",空調負荷率!$C$3:$E$5,2,FALSE))))</f>
        <v>0</v>
      </c>
      <c r="AU12" s="205" t="s">
        <v>51</v>
      </c>
      <c r="AV12" s="250">
        <f t="shared" si="9"/>
        <v>0</v>
      </c>
      <c r="AW12" s="250">
        <f t="shared" si="10"/>
        <v>0</v>
      </c>
      <c r="AX12" s="250">
        <f t="shared" si="11"/>
        <v>0</v>
      </c>
      <c r="AY12" s="250">
        <f t="shared" si="12"/>
        <v>0</v>
      </c>
      <c r="AZ12" s="250">
        <f t="shared" si="13"/>
        <v>0</v>
      </c>
      <c r="BA12" s="250">
        <f t="shared" si="14"/>
        <v>0</v>
      </c>
      <c r="BB12" s="250">
        <f t="shared" si="15"/>
        <v>0</v>
      </c>
      <c r="BC12" s="250">
        <f t="shared" si="16"/>
        <v>0</v>
      </c>
      <c r="BD12" s="250">
        <f t="shared" si="17"/>
        <v>0</v>
      </c>
      <c r="BE12" s="250">
        <f t="shared" si="18"/>
        <v>0</v>
      </c>
      <c r="BF12" s="250" t="str">
        <f t="shared" si="19"/>
        <v>ー</v>
      </c>
      <c r="BG12" s="250" t="str">
        <f t="shared" si="20"/>
        <v>ー</v>
      </c>
      <c r="BH12" s="250">
        <f t="shared" si="21"/>
        <v>0</v>
      </c>
      <c r="BI12" s="212"/>
      <c r="BK12" s="205" t="s">
        <v>51</v>
      </c>
      <c r="BL12" s="251">
        <f t="shared" si="22"/>
        <v>0</v>
      </c>
      <c r="BM12" s="251">
        <f t="shared" si="23"/>
        <v>0</v>
      </c>
      <c r="BN12" s="251">
        <f t="shared" si="24"/>
        <v>0</v>
      </c>
      <c r="BO12" s="251">
        <f t="shared" si="25"/>
        <v>0</v>
      </c>
      <c r="BP12" s="251" t="str">
        <f t="shared" si="26"/>
        <v>ー</v>
      </c>
      <c r="BQ12" s="251" t="str">
        <f t="shared" si="27"/>
        <v>ー</v>
      </c>
      <c r="BR12" s="251" t="str">
        <f t="shared" si="28"/>
        <v>ー</v>
      </c>
      <c r="BS12" s="251" t="str">
        <f t="shared" si="29"/>
        <v>ー</v>
      </c>
      <c r="BT12" s="251">
        <f t="shared" si="30"/>
        <v>0</v>
      </c>
      <c r="BU12" s="251">
        <f t="shared" si="31"/>
        <v>0</v>
      </c>
      <c r="BV12" s="251">
        <f t="shared" si="32"/>
        <v>0</v>
      </c>
      <c r="BW12" s="251">
        <f t="shared" si="33"/>
        <v>0</v>
      </c>
      <c r="BX12" s="251">
        <f t="shared" si="34"/>
        <v>0</v>
      </c>
      <c r="BY12" s="212"/>
    </row>
    <row r="13" spans="1:78">
      <c r="B13" s="205" t="s">
        <v>52</v>
      </c>
      <c r="C13" s="387" t="s">
        <v>979</v>
      </c>
      <c r="D13" s="253">
        <f>IF(空調!E25="",1,MIN(1.5,(2025-空調!E25)*0.02+1))</f>
        <v>1</v>
      </c>
      <c r="E13" s="254">
        <f>空調!H25</f>
        <v>0</v>
      </c>
      <c r="F13" s="147">
        <f>IF(空調!H25="",0,IF(空調!H25="13A（都市ガス）",VLOOKUP("13A",空調負荷率!$C$3:$E$5,2,FALSE),IF(空調!H25="12A（都市ガス）",VLOOKUP("12A",空調負荷率!$C$3:$E$5,2,FALSE),VLOOKUP("LP",空調負荷率!$C$3:$E$5,2,FALSE))))</f>
        <v>0</v>
      </c>
      <c r="H13" s="205" t="s">
        <v>52</v>
      </c>
      <c r="I13" s="251">
        <f>空調!$M25</f>
        <v>0</v>
      </c>
      <c r="J13" s="252">
        <f t="shared" si="35"/>
        <v>0</v>
      </c>
      <c r="K13" s="252">
        <f t="shared" si="0"/>
        <v>0</v>
      </c>
      <c r="L13" s="252">
        <f t="shared" si="36"/>
        <v>0</v>
      </c>
      <c r="M13" s="252">
        <f t="shared" si="37"/>
        <v>0</v>
      </c>
      <c r="N13" s="252">
        <f t="shared" si="38"/>
        <v>0</v>
      </c>
      <c r="O13" s="252">
        <f t="shared" si="39"/>
        <v>0</v>
      </c>
      <c r="P13" s="252">
        <f t="shared" si="1"/>
        <v>0</v>
      </c>
      <c r="Q13" s="252">
        <f t="shared" si="40"/>
        <v>0</v>
      </c>
      <c r="R13" s="384">
        <f t="shared" si="41"/>
        <v>0</v>
      </c>
      <c r="S13" s="252" t="s">
        <v>382</v>
      </c>
      <c r="T13" s="252" t="s">
        <v>382</v>
      </c>
      <c r="U13" s="252">
        <f t="shared" si="2"/>
        <v>0</v>
      </c>
      <c r="V13" s="212"/>
      <c r="X13" s="205" t="s">
        <v>52</v>
      </c>
      <c r="Y13" s="251">
        <f>空調!$R25</f>
        <v>0</v>
      </c>
      <c r="Z13" s="252">
        <f t="shared" si="3"/>
        <v>0</v>
      </c>
      <c r="AA13" s="252">
        <f t="shared" si="42"/>
        <v>0</v>
      </c>
      <c r="AB13" s="384">
        <f t="shared" si="43"/>
        <v>0</v>
      </c>
      <c r="AC13" s="252" t="s">
        <v>382</v>
      </c>
      <c r="AD13" s="252" t="s">
        <v>382</v>
      </c>
      <c r="AE13" s="252" t="s">
        <v>382</v>
      </c>
      <c r="AF13" s="252" t="str">
        <f t="shared" si="44"/>
        <v>ー</v>
      </c>
      <c r="AG13" s="252">
        <f t="shared" si="4"/>
        <v>0</v>
      </c>
      <c r="AH13" s="252">
        <f t="shared" si="5"/>
        <v>0</v>
      </c>
      <c r="AI13" s="252">
        <f t="shared" si="6"/>
        <v>0</v>
      </c>
      <c r="AJ13" s="252">
        <f t="shared" si="7"/>
        <v>0</v>
      </c>
      <c r="AK13" s="252">
        <f t="shared" si="8"/>
        <v>0</v>
      </c>
      <c r="AL13" s="212"/>
      <c r="AN13" s="205" t="s">
        <v>52</v>
      </c>
      <c r="AO13" s="250" t="str">
        <f t="shared" si="45"/>
        <v>事務所</v>
      </c>
      <c r="AP13" s="257">
        <f>空調!F25</f>
        <v>0</v>
      </c>
      <c r="AQ13" s="257">
        <f>空調!Y25</f>
        <v>0</v>
      </c>
      <c r="AR13" s="254">
        <f>空調!AA25</f>
        <v>0</v>
      </c>
      <c r="AS13" s="147">
        <f>IF(AR13=0,0,IF(AR13="13A（都市ガス）",VLOOKUP("13A",空調負荷率!$AO$3:$AQ$5,2,FALSE),IF(AR13="12A（都市ガス）",VLOOKUP("12A",空調負荷率!$AO$3:$AQ$5,2,FALSE),VLOOKUP("LP",空調負荷率!$C$3:$E$5,2,FALSE))))</f>
        <v>0</v>
      </c>
      <c r="AU13" s="205" t="s">
        <v>52</v>
      </c>
      <c r="AV13" s="250">
        <f t="shared" si="9"/>
        <v>0</v>
      </c>
      <c r="AW13" s="250">
        <f t="shared" si="10"/>
        <v>0</v>
      </c>
      <c r="AX13" s="250">
        <f t="shared" si="11"/>
        <v>0</v>
      </c>
      <c r="AY13" s="250">
        <f t="shared" si="12"/>
        <v>0</v>
      </c>
      <c r="AZ13" s="250">
        <f t="shared" si="13"/>
        <v>0</v>
      </c>
      <c r="BA13" s="250">
        <f t="shared" si="14"/>
        <v>0</v>
      </c>
      <c r="BB13" s="250">
        <f t="shared" si="15"/>
        <v>0</v>
      </c>
      <c r="BC13" s="250">
        <f t="shared" si="16"/>
        <v>0</v>
      </c>
      <c r="BD13" s="250">
        <f t="shared" si="17"/>
        <v>0</v>
      </c>
      <c r="BE13" s="250">
        <f t="shared" si="18"/>
        <v>0</v>
      </c>
      <c r="BF13" s="250" t="str">
        <f t="shared" si="19"/>
        <v>ー</v>
      </c>
      <c r="BG13" s="250" t="str">
        <f t="shared" si="20"/>
        <v>ー</v>
      </c>
      <c r="BH13" s="250">
        <f t="shared" si="21"/>
        <v>0</v>
      </c>
      <c r="BI13" s="212"/>
      <c r="BK13" s="205" t="s">
        <v>52</v>
      </c>
      <c r="BL13" s="251">
        <f t="shared" si="22"/>
        <v>0</v>
      </c>
      <c r="BM13" s="251">
        <f t="shared" si="23"/>
        <v>0</v>
      </c>
      <c r="BN13" s="251">
        <f t="shared" si="24"/>
        <v>0</v>
      </c>
      <c r="BO13" s="251">
        <f t="shared" si="25"/>
        <v>0</v>
      </c>
      <c r="BP13" s="251" t="str">
        <f t="shared" si="26"/>
        <v>ー</v>
      </c>
      <c r="BQ13" s="251" t="str">
        <f t="shared" si="27"/>
        <v>ー</v>
      </c>
      <c r="BR13" s="251" t="str">
        <f t="shared" si="28"/>
        <v>ー</v>
      </c>
      <c r="BS13" s="251" t="str">
        <f t="shared" si="29"/>
        <v>ー</v>
      </c>
      <c r="BT13" s="251">
        <f t="shared" si="30"/>
        <v>0</v>
      </c>
      <c r="BU13" s="251">
        <f t="shared" si="31"/>
        <v>0</v>
      </c>
      <c r="BV13" s="251">
        <f t="shared" si="32"/>
        <v>0</v>
      </c>
      <c r="BW13" s="251">
        <f t="shared" si="33"/>
        <v>0</v>
      </c>
      <c r="BX13" s="251">
        <f t="shared" si="34"/>
        <v>0</v>
      </c>
      <c r="BY13" s="212"/>
    </row>
    <row r="14" spans="1:78">
      <c r="B14" s="205" t="s">
        <v>53</v>
      </c>
      <c r="C14" s="387" t="s">
        <v>979</v>
      </c>
      <c r="D14" s="253">
        <f>IF(空調!E26="",1,MIN(1.5,(2025-空調!E26)*0.02+1))</f>
        <v>1</v>
      </c>
      <c r="E14" s="254">
        <f>空調!H26</f>
        <v>0</v>
      </c>
      <c r="F14" s="147">
        <f>IF(空調!H26="",0,IF(空調!H26="13A（都市ガス）",VLOOKUP("13A",空調負荷率!$C$3:$E$5,2,FALSE),IF(空調!H26="12A（都市ガス）",VLOOKUP("12A",空調負荷率!$C$3:$E$5,2,FALSE),VLOOKUP("LP",空調負荷率!$C$3:$E$5,2,FALSE))))</f>
        <v>0</v>
      </c>
      <c r="H14" s="205" t="s">
        <v>53</v>
      </c>
      <c r="I14" s="251">
        <f>空調!$M26</f>
        <v>0</v>
      </c>
      <c r="J14" s="252">
        <f t="shared" si="35"/>
        <v>0</v>
      </c>
      <c r="K14" s="252">
        <f t="shared" si="0"/>
        <v>0</v>
      </c>
      <c r="L14" s="252">
        <f t="shared" si="36"/>
        <v>0</v>
      </c>
      <c r="M14" s="252">
        <f t="shared" si="37"/>
        <v>0</v>
      </c>
      <c r="N14" s="252">
        <f t="shared" si="38"/>
        <v>0</v>
      </c>
      <c r="O14" s="252">
        <f t="shared" si="39"/>
        <v>0</v>
      </c>
      <c r="P14" s="252">
        <f t="shared" si="1"/>
        <v>0</v>
      </c>
      <c r="Q14" s="252">
        <f t="shared" si="40"/>
        <v>0</v>
      </c>
      <c r="R14" s="384">
        <f t="shared" si="41"/>
        <v>0</v>
      </c>
      <c r="S14" s="252" t="s">
        <v>382</v>
      </c>
      <c r="T14" s="252" t="s">
        <v>382</v>
      </c>
      <c r="U14" s="252">
        <f t="shared" si="2"/>
        <v>0</v>
      </c>
      <c r="V14" s="212"/>
      <c r="X14" s="205" t="s">
        <v>53</v>
      </c>
      <c r="Y14" s="251">
        <f>空調!$R26</f>
        <v>0</v>
      </c>
      <c r="Z14" s="252">
        <f t="shared" si="3"/>
        <v>0</v>
      </c>
      <c r="AA14" s="252">
        <f t="shared" si="42"/>
        <v>0</v>
      </c>
      <c r="AB14" s="384">
        <f t="shared" si="43"/>
        <v>0</v>
      </c>
      <c r="AC14" s="252" t="s">
        <v>382</v>
      </c>
      <c r="AD14" s="252" t="s">
        <v>382</v>
      </c>
      <c r="AE14" s="252" t="s">
        <v>382</v>
      </c>
      <c r="AF14" s="252" t="str">
        <f t="shared" si="44"/>
        <v>ー</v>
      </c>
      <c r="AG14" s="252">
        <f t="shared" si="4"/>
        <v>0</v>
      </c>
      <c r="AH14" s="252">
        <f t="shared" si="5"/>
        <v>0</v>
      </c>
      <c r="AI14" s="252">
        <f t="shared" si="6"/>
        <v>0</v>
      </c>
      <c r="AJ14" s="252">
        <f t="shared" si="7"/>
        <v>0</v>
      </c>
      <c r="AK14" s="252">
        <f t="shared" si="8"/>
        <v>0</v>
      </c>
      <c r="AL14" s="212"/>
      <c r="AN14" s="205" t="s">
        <v>53</v>
      </c>
      <c r="AO14" s="250" t="str">
        <f t="shared" si="45"/>
        <v>事務所</v>
      </c>
      <c r="AP14" s="257">
        <f>空調!F26</f>
        <v>0</v>
      </c>
      <c r="AQ14" s="257">
        <f>空調!Y26</f>
        <v>0</v>
      </c>
      <c r="AR14" s="254">
        <f>空調!AA26</f>
        <v>0</v>
      </c>
      <c r="AS14" s="147">
        <f>IF(AR14=0,0,IF(AR14="13A（都市ガス）",VLOOKUP("13A",空調負荷率!$AO$3:$AQ$5,2,FALSE),IF(AR14="12A（都市ガス）",VLOOKUP("12A",空調負荷率!$AO$3:$AQ$5,2,FALSE),VLOOKUP("LP",空調負荷率!$C$3:$E$5,2,FALSE))))</f>
        <v>0</v>
      </c>
      <c r="AU14" s="205" t="s">
        <v>53</v>
      </c>
      <c r="AV14" s="250">
        <f t="shared" si="9"/>
        <v>0</v>
      </c>
      <c r="AW14" s="250">
        <f t="shared" si="10"/>
        <v>0</v>
      </c>
      <c r="AX14" s="250">
        <f t="shared" si="11"/>
        <v>0</v>
      </c>
      <c r="AY14" s="250">
        <f t="shared" si="12"/>
        <v>0</v>
      </c>
      <c r="AZ14" s="250">
        <f t="shared" si="13"/>
        <v>0</v>
      </c>
      <c r="BA14" s="250">
        <f t="shared" si="14"/>
        <v>0</v>
      </c>
      <c r="BB14" s="250">
        <f t="shared" si="15"/>
        <v>0</v>
      </c>
      <c r="BC14" s="250">
        <f t="shared" si="16"/>
        <v>0</v>
      </c>
      <c r="BD14" s="250">
        <f t="shared" si="17"/>
        <v>0</v>
      </c>
      <c r="BE14" s="250">
        <f t="shared" si="18"/>
        <v>0</v>
      </c>
      <c r="BF14" s="250" t="str">
        <f t="shared" si="19"/>
        <v>ー</v>
      </c>
      <c r="BG14" s="250" t="str">
        <f t="shared" si="20"/>
        <v>ー</v>
      </c>
      <c r="BH14" s="250">
        <f t="shared" si="21"/>
        <v>0</v>
      </c>
      <c r="BI14" s="212"/>
      <c r="BK14" s="205" t="s">
        <v>53</v>
      </c>
      <c r="BL14" s="251">
        <f t="shared" si="22"/>
        <v>0</v>
      </c>
      <c r="BM14" s="251">
        <f t="shared" si="23"/>
        <v>0</v>
      </c>
      <c r="BN14" s="251">
        <f t="shared" si="24"/>
        <v>0</v>
      </c>
      <c r="BO14" s="251">
        <f t="shared" si="25"/>
        <v>0</v>
      </c>
      <c r="BP14" s="251" t="str">
        <f t="shared" si="26"/>
        <v>ー</v>
      </c>
      <c r="BQ14" s="251" t="str">
        <f t="shared" si="27"/>
        <v>ー</v>
      </c>
      <c r="BR14" s="251" t="str">
        <f t="shared" si="28"/>
        <v>ー</v>
      </c>
      <c r="BS14" s="251" t="str">
        <f t="shared" si="29"/>
        <v>ー</v>
      </c>
      <c r="BT14" s="251">
        <f t="shared" si="30"/>
        <v>0</v>
      </c>
      <c r="BU14" s="251">
        <f t="shared" si="31"/>
        <v>0</v>
      </c>
      <c r="BV14" s="251">
        <f t="shared" si="32"/>
        <v>0</v>
      </c>
      <c r="BW14" s="251">
        <f t="shared" si="33"/>
        <v>0</v>
      </c>
      <c r="BX14" s="251">
        <f t="shared" si="34"/>
        <v>0</v>
      </c>
      <c r="BY14" s="212"/>
    </row>
    <row r="15" spans="1:78">
      <c r="B15" s="205" t="s">
        <v>54</v>
      </c>
      <c r="C15" s="387" t="s">
        <v>979</v>
      </c>
      <c r="D15" s="253">
        <f>IF(空調!E27="",1,MIN(1.5,(2025-空調!E27)*0.02+1))</f>
        <v>1</v>
      </c>
      <c r="E15" s="254">
        <f>空調!H27</f>
        <v>0</v>
      </c>
      <c r="F15" s="147">
        <f>IF(空調!H27="",0,IF(空調!H27="13A（都市ガス）",VLOOKUP("13A",空調負荷率!$C$3:$E$5,2,FALSE),IF(空調!H27="12A（都市ガス）",VLOOKUP("12A",空調負荷率!$C$3:$E$5,2,FALSE),VLOOKUP("LP",空調負荷率!$C$3:$E$5,2,FALSE))))</f>
        <v>0</v>
      </c>
      <c r="H15" s="205" t="s">
        <v>54</v>
      </c>
      <c r="I15" s="251">
        <f>空調!$M27</f>
        <v>0</v>
      </c>
      <c r="J15" s="252">
        <f t="shared" si="35"/>
        <v>0</v>
      </c>
      <c r="K15" s="252">
        <f t="shared" si="0"/>
        <v>0</v>
      </c>
      <c r="L15" s="252">
        <f t="shared" si="36"/>
        <v>0</v>
      </c>
      <c r="M15" s="252">
        <f t="shared" si="37"/>
        <v>0</v>
      </c>
      <c r="N15" s="252">
        <f t="shared" si="38"/>
        <v>0</v>
      </c>
      <c r="O15" s="252">
        <f t="shared" si="39"/>
        <v>0</v>
      </c>
      <c r="P15" s="252">
        <f t="shared" si="1"/>
        <v>0</v>
      </c>
      <c r="Q15" s="252">
        <f t="shared" si="40"/>
        <v>0</v>
      </c>
      <c r="R15" s="384">
        <f t="shared" si="41"/>
        <v>0</v>
      </c>
      <c r="S15" s="252" t="s">
        <v>382</v>
      </c>
      <c r="T15" s="252" t="s">
        <v>382</v>
      </c>
      <c r="U15" s="252">
        <f t="shared" si="2"/>
        <v>0</v>
      </c>
      <c r="V15" s="212"/>
      <c r="X15" s="205" t="s">
        <v>54</v>
      </c>
      <c r="Y15" s="251">
        <f>空調!$R27</f>
        <v>0</v>
      </c>
      <c r="Z15" s="252">
        <f t="shared" si="3"/>
        <v>0</v>
      </c>
      <c r="AA15" s="252">
        <f t="shared" si="42"/>
        <v>0</v>
      </c>
      <c r="AB15" s="384">
        <f t="shared" si="43"/>
        <v>0</v>
      </c>
      <c r="AC15" s="252" t="s">
        <v>382</v>
      </c>
      <c r="AD15" s="252" t="s">
        <v>382</v>
      </c>
      <c r="AE15" s="252" t="s">
        <v>382</v>
      </c>
      <c r="AF15" s="252" t="str">
        <f t="shared" si="44"/>
        <v>ー</v>
      </c>
      <c r="AG15" s="252">
        <f t="shared" si="4"/>
        <v>0</v>
      </c>
      <c r="AH15" s="252">
        <f t="shared" si="5"/>
        <v>0</v>
      </c>
      <c r="AI15" s="252">
        <f t="shared" si="6"/>
        <v>0</v>
      </c>
      <c r="AJ15" s="252">
        <f t="shared" si="7"/>
        <v>0</v>
      </c>
      <c r="AK15" s="252">
        <f t="shared" si="8"/>
        <v>0</v>
      </c>
      <c r="AL15" s="212"/>
      <c r="AN15" s="205" t="s">
        <v>54</v>
      </c>
      <c r="AO15" s="250" t="str">
        <f t="shared" si="45"/>
        <v>事務所</v>
      </c>
      <c r="AP15" s="257">
        <f>空調!F27</f>
        <v>0</v>
      </c>
      <c r="AQ15" s="257">
        <f>空調!Y27</f>
        <v>0</v>
      </c>
      <c r="AR15" s="254">
        <f>空調!AA27</f>
        <v>0</v>
      </c>
      <c r="AS15" s="147">
        <f>IF(AR15=0,0,IF(AR15="13A（都市ガス）",VLOOKUP("13A",空調負荷率!$AO$3:$AQ$5,2,FALSE),IF(AR15="12A（都市ガス）",VLOOKUP("12A",空調負荷率!$AO$3:$AQ$5,2,FALSE),VLOOKUP("LP",空調負荷率!$C$3:$E$5,2,FALSE))))</f>
        <v>0</v>
      </c>
      <c r="AU15" s="205" t="s">
        <v>54</v>
      </c>
      <c r="AV15" s="250">
        <f t="shared" si="9"/>
        <v>0</v>
      </c>
      <c r="AW15" s="250">
        <f t="shared" si="10"/>
        <v>0</v>
      </c>
      <c r="AX15" s="250">
        <f t="shared" si="11"/>
        <v>0</v>
      </c>
      <c r="AY15" s="250">
        <f t="shared" si="12"/>
        <v>0</v>
      </c>
      <c r="AZ15" s="250">
        <f t="shared" si="13"/>
        <v>0</v>
      </c>
      <c r="BA15" s="250">
        <f t="shared" si="14"/>
        <v>0</v>
      </c>
      <c r="BB15" s="250">
        <f t="shared" si="15"/>
        <v>0</v>
      </c>
      <c r="BC15" s="250">
        <f t="shared" si="16"/>
        <v>0</v>
      </c>
      <c r="BD15" s="250">
        <f t="shared" si="17"/>
        <v>0</v>
      </c>
      <c r="BE15" s="250">
        <f t="shared" si="18"/>
        <v>0</v>
      </c>
      <c r="BF15" s="250" t="str">
        <f t="shared" si="19"/>
        <v>ー</v>
      </c>
      <c r="BG15" s="250" t="str">
        <f t="shared" si="20"/>
        <v>ー</v>
      </c>
      <c r="BH15" s="250">
        <f t="shared" si="21"/>
        <v>0</v>
      </c>
      <c r="BI15" s="212"/>
      <c r="BK15" s="205" t="s">
        <v>54</v>
      </c>
      <c r="BL15" s="251">
        <f t="shared" si="22"/>
        <v>0</v>
      </c>
      <c r="BM15" s="251">
        <f t="shared" si="23"/>
        <v>0</v>
      </c>
      <c r="BN15" s="251">
        <f t="shared" si="24"/>
        <v>0</v>
      </c>
      <c r="BO15" s="251">
        <f t="shared" si="25"/>
        <v>0</v>
      </c>
      <c r="BP15" s="251" t="str">
        <f t="shared" si="26"/>
        <v>ー</v>
      </c>
      <c r="BQ15" s="251" t="str">
        <f t="shared" si="27"/>
        <v>ー</v>
      </c>
      <c r="BR15" s="251" t="str">
        <f t="shared" si="28"/>
        <v>ー</v>
      </c>
      <c r="BS15" s="251" t="str">
        <f t="shared" si="29"/>
        <v>ー</v>
      </c>
      <c r="BT15" s="251">
        <f t="shared" si="30"/>
        <v>0</v>
      </c>
      <c r="BU15" s="251">
        <f t="shared" si="31"/>
        <v>0</v>
      </c>
      <c r="BV15" s="251">
        <f t="shared" si="32"/>
        <v>0</v>
      </c>
      <c r="BW15" s="251">
        <f t="shared" si="33"/>
        <v>0</v>
      </c>
      <c r="BX15" s="251">
        <f t="shared" si="34"/>
        <v>0</v>
      </c>
      <c r="BY15" s="212"/>
    </row>
    <row r="16" spans="1:78">
      <c r="B16" s="205" t="s">
        <v>55</v>
      </c>
      <c r="C16" s="387" t="s">
        <v>979</v>
      </c>
      <c r="D16" s="253">
        <f>IF(空調!E28="",1,MIN(1.5,(2025-空調!E28)*0.02+1))</f>
        <v>1</v>
      </c>
      <c r="E16" s="254">
        <f>空調!H28</f>
        <v>0</v>
      </c>
      <c r="F16" s="147">
        <f>IF(空調!H28="",0,IF(空調!H28="13A（都市ガス）",VLOOKUP("13A",空調負荷率!$C$3:$E$5,2,FALSE),IF(空調!H28="12A（都市ガス）",VLOOKUP("12A",空調負荷率!$C$3:$E$5,2,FALSE),VLOOKUP("LP",空調負荷率!$C$3:$E$5,2,FALSE))))</f>
        <v>0</v>
      </c>
      <c r="H16" s="205" t="s">
        <v>55</v>
      </c>
      <c r="I16" s="251">
        <f>空調!$M28</f>
        <v>0</v>
      </c>
      <c r="J16" s="252">
        <f t="shared" si="35"/>
        <v>0</v>
      </c>
      <c r="K16" s="252">
        <f t="shared" si="0"/>
        <v>0</v>
      </c>
      <c r="L16" s="252">
        <f t="shared" si="36"/>
        <v>0</v>
      </c>
      <c r="M16" s="252">
        <f t="shared" si="37"/>
        <v>0</v>
      </c>
      <c r="N16" s="252">
        <f t="shared" si="38"/>
        <v>0</v>
      </c>
      <c r="O16" s="252">
        <f t="shared" si="39"/>
        <v>0</v>
      </c>
      <c r="P16" s="252">
        <f t="shared" si="1"/>
        <v>0</v>
      </c>
      <c r="Q16" s="252">
        <f t="shared" si="40"/>
        <v>0</v>
      </c>
      <c r="R16" s="384">
        <f t="shared" si="41"/>
        <v>0</v>
      </c>
      <c r="S16" s="252" t="s">
        <v>382</v>
      </c>
      <c r="T16" s="252" t="s">
        <v>382</v>
      </c>
      <c r="U16" s="252">
        <f t="shared" si="2"/>
        <v>0</v>
      </c>
      <c r="V16" s="212"/>
      <c r="X16" s="205" t="s">
        <v>55</v>
      </c>
      <c r="Y16" s="251">
        <f>空調!$R28</f>
        <v>0</v>
      </c>
      <c r="Z16" s="252">
        <f t="shared" si="3"/>
        <v>0</v>
      </c>
      <c r="AA16" s="252">
        <f t="shared" si="42"/>
        <v>0</v>
      </c>
      <c r="AB16" s="384">
        <f t="shared" si="43"/>
        <v>0</v>
      </c>
      <c r="AC16" s="252" t="s">
        <v>382</v>
      </c>
      <c r="AD16" s="252" t="s">
        <v>382</v>
      </c>
      <c r="AE16" s="252" t="s">
        <v>382</v>
      </c>
      <c r="AF16" s="252" t="str">
        <f t="shared" si="44"/>
        <v>ー</v>
      </c>
      <c r="AG16" s="252">
        <f t="shared" si="4"/>
        <v>0</v>
      </c>
      <c r="AH16" s="252">
        <f t="shared" si="5"/>
        <v>0</v>
      </c>
      <c r="AI16" s="252">
        <f t="shared" si="6"/>
        <v>0</v>
      </c>
      <c r="AJ16" s="252">
        <f t="shared" si="7"/>
        <v>0</v>
      </c>
      <c r="AK16" s="252">
        <f t="shared" si="8"/>
        <v>0</v>
      </c>
      <c r="AL16" s="212"/>
      <c r="AN16" s="205" t="s">
        <v>55</v>
      </c>
      <c r="AO16" s="250" t="str">
        <f t="shared" si="45"/>
        <v>事務所</v>
      </c>
      <c r="AP16" s="257">
        <f>空調!F28</f>
        <v>0</v>
      </c>
      <c r="AQ16" s="257">
        <f>空調!Y28</f>
        <v>0</v>
      </c>
      <c r="AR16" s="254">
        <f>空調!AA28</f>
        <v>0</v>
      </c>
      <c r="AS16" s="147">
        <f>IF(AR16=0,0,IF(AR16="13A（都市ガス）",VLOOKUP("13A",空調負荷率!$AO$3:$AQ$5,2,FALSE),IF(AR16="12A（都市ガス）",VLOOKUP("12A",空調負荷率!$AO$3:$AQ$5,2,FALSE),VLOOKUP("LP",空調負荷率!$C$3:$E$5,2,FALSE))))</f>
        <v>0</v>
      </c>
      <c r="AU16" s="205" t="s">
        <v>55</v>
      </c>
      <c r="AV16" s="250">
        <f t="shared" si="9"/>
        <v>0</v>
      </c>
      <c r="AW16" s="250">
        <f t="shared" si="10"/>
        <v>0</v>
      </c>
      <c r="AX16" s="250">
        <f t="shared" si="11"/>
        <v>0</v>
      </c>
      <c r="AY16" s="250">
        <f t="shared" si="12"/>
        <v>0</v>
      </c>
      <c r="AZ16" s="250">
        <f t="shared" si="13"/>
        <v>0</v>
      </c>
      <c r="BA16" s="250">
        <f t="shared" si="14"/>
        <v>0</v>
      </c>
      <c r="BB16" s="250">
        <f t="shared" si="15"/>
        <v>0</v>
      </c>
      <c r="BC16" s="250">
        <f t="shared" si="16"/>
        <v>0</v>
      </c>
      <c r="BD16" s="250">
        <f t="shared" si="17"/>
        <v>0</v>
      </c>
      <c r="BE16" s="250">
        <f t="shared" si="18"/>
        <v>0</v>
      </c>
      <c r="BF16" s="250" t="str">
        <f t="shared" si="19"/>
        <v>ー</v>
      </c>
      <c r="BG16" s="250" t="str">
        <f t="shared" si="20"/>
        <v>ー</v>
      </c>
      <c r="BH16" s="250">
        <f t="shared" si="21"/>
        <v>0</v>
      </c>
      <c r="BI16" s="212"/>
      <c r="BK16" s="205" t="s">
        <v>55</v>
      </c>
      <c r="BL16" s="251">
        <f t="shared" si="22"/>
        <v>0</v>
      </c>
      <c r="BM16" s="251">
        <f t="shared" si="23"/>
        <v>0</v>
      </c>
      <c r="BN16" s="251">
        <f t="shared" si="24"/>
        <v>0</v>
      </c>
      <c r="BO16" s="251">
        <f t="shared" si="25"/>
        <v>0</v>
      </c>
      <c r="BP16" s="251" t="str">
        <f t="shared" si="26"/>
        <v>ー</v>
      </c>
      <c r="BQ16" s="251" t="str">
        <f t="shared" si="27"/>
        <v>ー</v>
      </c>
      <c r="BR16" s="251" t="str">
        <f t="shared" si="28"/>
        <v>ー</v>
      </c>
      <c r="BS16" s="251" t="str">
        <f t="shared" si="29"/>
        <v>ー</v>
      </c>
      <c r="BT16" s="251">
        <f t="shared" si="30"/>
        <v>0</v>
      </c>
      <c r="BU16" s="251">
        <f t="shared" si="31"/>
        <v>0</v>
      </c>
      <c r="BV16" s="251">
        <f t="shared" si="32"/>
        <v>0</v>
      </c>
      <c r="BW16" s="251">
        <f t="shared" si="33"/>
        <v>0</v>
      </c>
      <c r="BX16" s="251">
        <f t="shared" si="34"/>
        <v>0</v>
      </c>
      <c r="BY16" s="212"/>
    </row>
    <row r="17" spans="2:77">
      <c r="B17" s="205" t="s">
        <v>56</v>
      </c>
      <c r="C17" s="387" t="s">
        <v>979</v>
      </c>
      <c r="D17" s="253">
        <f>IF(空調!E29="",1,MIN(1.5,(2025-空調!E29)*0.02+1))</f>
        <v>1</v>
      </c>
      <c r="E17" s="254">
        <f>空調!H29</f>
        <v>0</v>
      </c>
      <c r="F17" s="147">
        <f>IF(空調!H29="",0,IF(空調!H29="13A（都市ガス）",VLOOKUP("13A",空調負荷率!$C$3:$E$5,2,FALSE),IF(空調!H29="12A（都市ガス）",VLOOKUP("12A",空調負荷率!$C$3:$E$5,2,FALSE),VLOOKUP("LP",空調負荷率!$C$3:$E$5,2,FALSE))))</f>
        <v>0</v>
      </c>
      <c r="H17" s="205" t="s">
        <v>56</v>
      </c>
      <c r="I17" s="251">
        <f>空調!$M29</f>
        <v>0</v>
      </c>
      <c r="J17" s="252">
        <f t="shared" si="35"/>
        <v>0</v>
      </c>
      <c r="K17" s="252">
        <f t="shared" si="0"/>
        <v>0</v>
      </c>
      <c r="L17" s="252">
        <f t="shared" si="36"/>
        <v>0</v>
      </c>
      <c r="M17" s="252">
        <f t="shared" si="37"/>
        <v>0</v>
      </c>
      <c r="N17" s="252">
        <f t="shared" si="38"/>
        <v>0</v>
      </c>
      <c r="O17" s="252">
        <f t="shared" si="39"/>
        <v>0</v>
      </c>
      <c r="P17" s="252">
        <f t="shared" si="1"/>
        <v>0</v>
      </c>
      <c r="Q17" s="252">
        <f t="shared" si="40"/>
        <v>0</v>
      </c>
      <c r="R17" s="384">
        <f t="shared" si="41"/>
        <v>0</v>
      </c>
      <c r="S17" s="252" t="s">
        <v>382</v>
      </c>
      <c r="T17" s="252" t="s">
        <v>382</v>
      </c>
      <c r="U17" s="252">
        <f t="shared" si="2"/>
        <v>0</v>
      </c>
      <c r="V17" s="212"/>
      <c r="X17" s="205" t="s">
        <v>56</v>
      </c>
      <c r="Y17" s="251">
        <f>空調!$R29</f>
        <v>0</v>
      </c>
      <c r="Z17" s="252">
        <f t="shared" si="3"/>
        <v>0</v>
      </c>
      <c r="AA17" s="252">
        <f t="shared" si="42"/>
        <v>0</v>
      </c>
      <c r="AB17" s="384">
        <f t="shared" si="43"/>
        <v>0</v>
      </c>
      <c r="AC17" s="252" t="s">
        <v>382</v>
      </c>
      <c r="AD17" s="252" t="s">
        <v>382</v>
      </c>
      <c r="AE17" s="252" t="s">
        <v>382</v>
      </c>
      <c r="AF17" s="252" t="str">
        <f t="shared" si="44"/>
        <v>ー</v>
      </c>
      <c r="AG17" s="252">
        <f t="shared" si="4"/>
        <v>0</v>
      </c>
      <c r="AH17" s="252">
        <f t="shared" si="5"/>
        <v>0</v>
      </c>
      <c r="AI17" s="252">
        <f t="shared" si="6"/>
        <v>0</v>
      </c>
      <c r="AJ17" s="252">
        <f t="shared" si="7"/>
        <v>0</v>
      </c>
      <c r="AK17" s="252">
        <f t="shared" si="8"/>
        <v>0</v>
      </c>
      <c r="AL17" s="212"/>
      <c r="AN17" s="205" t="s">
        <v>56</v>
      </c>
      <c r="AO17" s="250" t="str">
        <f t="shared" si="45"/>
        <v>事務所</v>
      </c>
      <c r="AP17" s="257">
        <f>空調!F29</f>
        <v>0</v>
      </c>
      <c r="AQ17" s="257">
        <f>空調!Y29</f>
        <v>0</v>
      </c>
      <c r="AR17" s="254">
        <f>空調!AA29</f>
        <v>0</v>
      </c>
      <c r="AS17" s="147">
        <f>IF(AR17=0,0,IF(AR17="13A（都市ガス）",VLOOKUP("13A",空調負荷率!$AO$3:$AQ$5,2,FALSE),IF(AR17="12A（都市ガス）",VLOOKUP("12A",空調負荷率!$AO$3:$AQ$5,2,FALSE),VLOOKUP("LP",空調負荷率!$C$3:$E$5,2,FALSE))))</f>
        <v>0</v>
      </c>
      <c r="AU17" s="205" t="s">
        <v>56</v>
      </c>
      <c r="AV17" s="250">
        <f t="shared" si="9"/>
        <v>0</v>
      </c>
      <c r="AW17" s="250">
        <f t="shared" si="10"/>
        <v>0</v>
      </c>
      <c r="AX17" s="250">
        <f t="shared" si="11"/>
        <v>0</v>
      </c>
      <c r="AY17" s="250">
        <f t="shared" si="12"/>
        <v>0</v>
      </c>
      <c r="AZ17" s="250">
        <f t="shared" si="13"/>
        <v>0</v>
      </c>
      <c r="BA17" s="250">
        <f t="shared" si="14"/>
        <v>0</v>
      </c>
      <c r="BB17" s="250">
        <f t="shared" si="15"/>
        <v>0</v>
      </c>
      <c r="BC17" s="250">
        <f t="shared" si="16"/>
        <v>0</v>
      </c>
      <c r="BD17" s="250">
        <f t="shared" si="17"/>
        <v>0</v>
      </c>
      <c r="BE17" s="250">
        <f t="shared" si="18"/>
        <v>0</v>
      </c>
      <c r="BF17" s="250" t="str">
        <f t="shared" si="19"/>
        <v>ー</v>
      </c>
      <c r="BG17" s="250" t="str">
        <f t="shared" si="20"/>
        <v>ー</v>
      </c>
      <c r="BH17" s="250">
        <f t="shared" si="21"/>
        <v>0</v>
      </c>
      <c r="BI17" s="212"/>
      <c r="BK17" s="205" t="s">
        <v>56</v>
      </c>
      <c r="BL17" s="251">
        <f t="shared" si="22"/>
        <v>0</v>
      </c>
      <c r="BM17" s="251">
        <f t="shared" si="23"/>
        <v>0</v>
      </c>
      <c r="BN17" s="251">
        <f t="shared" si="24"/>
        <v>0</v>
      </c>
      <c r="BO17" s="251">
        <f t="shared" si="25"/>
        <v>0</v>
      </c>
      <c r="BP17" s="251" t="str">
        <f t="shared" si="26"/>
        <v>ー</v>
      </c>
      <c r="BQ17" s="251" t="str">
        <f t="shared" si="27"/>
        <v>ー</v>
      </c>
      <c r="BR17" s="251" t="str">
        <f t="shared" si="28"/>
        <v>ー</v>
      </c>
      <c r="BS17" s="251" t="str">
        <f t="shared" si="29"/>
        <v>ー</v>
      </c>
      <c r="BT17" s="251">
        <f t="shared" si="30"/>
        <v>0</v>
      </c>
      <c r="BU17" s="251">
        <f t="shared" si="31"/>
        <v>0</v>
      </c>
      <c r="BV17" s="251">
        <f t="shared" si="32"/>
        <v>0</v>
      </c>
      <c r="BW17" s="251">
        <f t="shared" si="33"/>
        <v>0</v>
      </c>
      <c r="BX17" s="251">
        <f t="shared" si="34"/>
        <v>0</v>
      </c>
      <c r="BY17" s="212"/>
    </row>
    <row r="18" spans="2:77">
      <c r="B18" s="205" t="s">
        <v>57</v>
      </c>
      <c r="C18" s="387" t="s">
        <v>979</v>
      </c>
      <c r="D18" s="253">
        <f>IF(空調!E30="",1,MIN(1.5,(2025-空調!E30)*0.02+1))</f>
        <v>1</v>
      </c>
      <c r="E18" s="254">
        <f>空調!H30</f>
        <v>0</v>
      </c>
      <c r="F18" s="147">
        <f>IF(空調!H30="",0,IF(空調!H30="13A（都市ガス）",VLOOKUP("13A",空調負荷率!$C$3:$E$5,2,FALSE),IF(空調!H30="12A（都市ガス）",VLOOKUP("12A",空調負荷率!$C$3:$E$5,2,FALSE),VLOOKUP("LP",空調負荷率!$C$3:$E$5,2,FALSE))))</f>
        <v>0</v>
      </c>
      <c r="H18" s="205" t="s">
        <v>57</v>
      </c>
      <c r="I18" s="251">
        <f>空調!$M30</f>
        <v>0</v>
      </c>
      <c r="J18" s="252">
        <f t="shared" si="35"/>
        <v>0</v>
      </c>
      <c r="K18" s="252">
        <f t="shared" si="0"/>
        <v>0</v>
      </c>
      <c r="L18" s="252">
        <f t="shared" si="36"/>
        <v>0</v>
      </c>
      <c r="M18" s="252">
        <f t="shared" si="37"/>
        <v>0</v>
      </c>
      <c r="N18" s="252">
        <f t="shared" si="38"/>
        <v>0</v>
      </c>
      <c r="O18" s="252">
        <f t="shared" si="39"/>
        <v>0</v>
      </c>
      <c r="P18" s="252">
        <f t="shared" si="1"/>
        <v>0</v>
      </c>
      <c r="Q18" s="252">
        <f t="shared" si="40"/>
        <v>0</v>
      </c>
      <c r="R18" s="384">
        <f t="shared" si="41"/>
        <v>0</v>
      </c>
      <c r="S18" s="252" t="s">
        <v>382</v>
      </c>
      <c r="T18" s="252" t="s">
        <v>382</v>
      </c>
      <c r="U18" s="252">
        <f t="shared" si="2"/>
        <v>0</v>
      </c>
      <c r="V18" s="212"/>
      <c r="X18" s="205" t="s">
        <v>57</v>
      </c>
      <c r="Y18" s="251">
        <f>空調!$R30</f>
        <v>0</v>
      </c>
      <c r="Z18" s="252">
        <f t="shared" si="3"/>
        <v>0</v>
      </c>
      <c r="AA18" s="252">
        <f t="shared" si="42"/>
        <v>0</v>
      </c>
      <c r="AB18" s="384">
        <f t="shared" si="43"/>
        <v>0</v>
      </c>
      <c r="AC18" s="252" t="s">
        <v>382</v>
      </c>
      <c r="AD18" s="252" t="s">
        <v>382</v>
      </c>
      <c r="AE18" s="252" t="s">
        <v>382</v>
      </c>
      <c r="AF18" s="252" t="str">
        <f t="shared" si="44"/>
        <v>ー</v>
      </c>
      <c r="AG18" s="252">
        <f t="shared" si="4"/>
        <v>0</v>
      </c>
      <c r="AH18" s="252">
        <f t="shared" si="5"/>
        <v>0</v>
      </c>
      <c r="AI18" s="252">
        <f t="shared" si="6"/>
        <v>0</v>
      </c>
      <c r="AJ18" s="252">
        <f t="shared" si="7"/>
        <v>0</v>
      </c>
      <c r="AK18" s="252">
        <f t="shared" si="8"/>
        <v>0</v>
      </c>
      <c r="AL18" s="212"/>
      <c r="AN18" s="205" t="s">
        <v>57</v>
      </c>
      <c r="AO18" s="250" t="str">
        <f t="shared" si="45"/>
        <v>事務所</v>
      </c>
      <c r="AP18" s="257">
        <f>空調!F30</f>
        <v>0</v>
      </c>
      <c r="AQ18" s="257">
        <f>空調!Y30</f>
        <v>0</v>
      </c>
      <c r="AR18" s="254">
        <f>空調!AA30</f>
        <v>0</v>
      </c>
      <c r="AS18" s="147">
        <f>IF(AR18=0,0,IF(AR18="13A（都市ガス）",VLOOKUP("13A",空調負荷率!$AO$3:$AQ$5,2,FALSE),IF(AR18="12A（都市ガス）",VLOOKUP("12A",空調負荷率!$AO$3:$AQ$5,2,FALSE),VLOOKUP("LP",空調負荷率!$C$3:$E$5,2,FALSE))))</f>
        <v>0</v>
      </c>
      <c r="AU18" s="205" t="s">
        <v>57</v>
      </c>
      <c r="AV18" s="250">
        <f t="shared" si="9"/>
        <v>0</v>
      </c>
      <c r="AW18" s="250">
        <f t="shared" si="10"/>
        <v>0</v>
      </c>
      <c r="AX18" s="250">
        <f t="shared" si="11"/>
        <v>0</v>
      </c>
      <c r="AY18" s="250">
        <f t="shared" si="12"/>
        <v>0</v>
      </c>
      <c r="AZ18" s="250">
        <f t="shared" si="13"/>
        <v>0</v>
      </c>
      <c r="BA18" s="250">
        <f t="shared" si="14"/>
        <v>0</v>
      </c>
      <c r="BB18" s="250">
        <f t="shared" si="15"/>
        <v>0</v>
      </c>
      <c r="BC18" s="250">
        <f t="shared" si="16"/>
        <v>0</v>
      </c>
      <c r="BD18" s="250">
        <f t="shared" si="17"/>
        <v>0</v>
      </c>
      <c r="BE18" s="250">
        <f t="shared" si="18"/>
        <v>0</v>
      </c>
      <c r="BF18" s="250" t="str">
        <f t="shared" si="19"/>
        <v>ー</v>
      </c>
      <c r="BG18" s="250" t="str">
        <f t="shared" si="20"/>
        <v>ー</v>
      </c>
      <c r="BH18" s="250">
        <f t="shared" si="21"/>
        <v>0</v>
      </c>
      <c r="BI18" s="212"/>
      <c r="BK18" s="205" t="s">
        <v>57</v>
      </c>
      <c r="BL18" s="251">
        <f t="shared" si="22"/>
        <v>0</v>
      </c>
      <c r="BM18" s="251">
        <f t="shared" si="23"/>
        <v>0</v>
      </c>
      <c r="BN18" s="251">
        <f t="shared" si="24"/>
        <v>0</v>
      </c>
      <c r="BO18" s="251">
        <f t="shared" si="25"/>
        <v>0</v>
      </c>
      <c r="BP18" s="251" t="str">
        <f t="shared" si="26"/>
        <v>ー</v>
      </c>
      <c r="BQ18" s="251" t="str">
        <f t="shared" si="27"/>
        <v>ー</v>
      </c>
      <c r="BR18" s="251" t="str">
        <f t="shared" si="28"/>
        <v>ー</v>
      </c>
      <c r="BS18" s="251" t="str">
        <f t="shared" si="29"/>
        <v>ー</v>
      </c>
      <c r="BT18" s="251">
        <f t="shared" si="30"/>
        <v>0</v>
      </c>
      <c r="BU18" s="251">
        <f t="shared" si="31"/>
        <v>0</v>
      </c>
      <c r="BV18" s="251">
        <f t="shared" si="32"/>
        <v>0</v>
      </c>
      <c r="BW18" s="251">
        <f t="shared" si="33"/>
        <v>0</v>
      </c>
      <c r="BX18" s="251">
        <f t="shared" si="34"/>
        <v>0</v>
      </c>
      <c r="BY18" s="212"/>
    </row>
    <row r="19" spans="2:77">
      <c r="B19" s="205" t="s">
        <v>58</v>
      </c>
      <c r="C19" s="387" t="s">
        <v>979</v>
      </c>
      <c r="D19" s="253">
        <f>IF(空調!E31="",1,MIN(1.5,(2025-空調!E31)*0.02+1))</f>
        <v>1</v>
      </c>
      <c r="E19" s="254">
        <f>空調!H31</f>
        <v>0</v>
      </c>
      <c r="F19" s="147">
        <f>IF(空調!H31="",0,IF(空調!H31="13A（都市ガス）",VLOOKUP("13A",空調負荷率!$C$3:$E$5,2,FALSE),IF(空調!H31="12A（都市ガス）",VLOOKUP("12A",空調負荷率!$C$3:$E$5,2,FALSE),VLOOKUP("LP",空調負荷率!$C$3:$E$5,2,FALSE))))</f>
        <v>0</v>
      </c>
      <c r="H19" s="205" t="s">
        <v>58</v>
      </c>
      <c r="I19" s="251">
        <f>空調!$M31</f>
        <v>0</v>
      </c>
      <c r="J19" s="252">
        <f t="shared" si="35"/>
        <v>0</v>
      </c>
      <c r="K19" s="252">
        <f t="shared" si="0"/>
        <v>0</v>
      </c>
      <c r="L19" s="252">
        <f t="shared" si="36"/>
        <v>0</v>
      </c>
      <c r="M19" s="252">
        <f t="shared" si="37"/>
        <v>0</v>
      </c>
      <c r="N19" s="252">
        <f t="shared" si="38"/>
        <v>0</v>
      </c>
      <c r="O19" s="252">
        <f t="shared" si="39"/>
        <v>0</v>
      </c>
      <c r="P19" s="252">
        <f t="shared" si="1"/>
        <v>0</v>
      </c>
      <c r="Q19" s="252">
        <f t="shared" si="40"/>
        <v>0</v>
      </c>
      <c r="R19" s="384">
        <f t="shared" si="41"/>
        <v>0</v>
      </c>
      <c r="S19" s="252" t="s">
        <v>382</v>
      </c>
      <c r="T19" s="252" t="s">
        <v>382</v>
      </c>
      <c r="U19" s="252">
        <f t="shared" si="2"/>
        <v>0</v>
      </c>
      <c r="V19" s="212"/>
      <c r="X19" s="205" t="s">
        <v>58</v>
      </c>
      <c r="Y19" s="251">
        <f>空調!$R31</f>
        <v>0</v>
      </c>
      <c r="Z19" s="252">
        <f t="shared" si="3"/>
        <v>0</v>
      </c>
      <c r="AA19" s="252">
        <f t="shared" si="42"/>
        <v>0</v>
      </c>
      <c r="AB19" s="384">
        <f t="shared" si="43"/>
        <v>0</v>
      </c>
      <c r="AC19" s="252" t="s">
        <v>382</v>
      </c>
      <c r="AD19" s="252" t="s">
        <v>382</v>
      </c>
      <c r="AE19" s="252" t="s">
        <v>382</v>
      </c>
      <c r="AF19" s="252" t="str">
        <f t="shared" si="44"/>
        <v>ー</v>
      </c>
      <c r="AG19" s="252">
        <f t="shared" si="4"/>
        <v>0</v>
      </c>
      <c r="AH19" s="252">
        <f t="shared" si="5"/>
        <v>0</v>
      </c>
      <c r="AI19" s="252">
        <f t="shared" si="6"/>
        <v>0</v>
      </c>
      <c r="AJ19" s="252">
        <f t="shared" si="7"/>
        <v>0</v>
      </c>
      <c r="AK19" s="252">
        <f t="shared" si="8"/>
        <v>0</v>
      </c>
      <c r="AL19" s="212"/>
      <c r="AN19" s="205" t="s">
        <v>58</v>
      </c>
      <c r="AO19" s="250" t="str">
        <f t="shared" si="45"/>
        <v>事務所</v>
      </c>
      <c r="AP19" s="257">
        <f>空調!F31</f>
        <v>0</v>
      </c>
      <c r="AQ19" s="257">
        <f>空調!Y31</f>
        <v>0</v>
      </c>
      <c r="AR19" s="254">
        <f>空調!AA31</f>
        <v>0</v>
      </c>
      <c r="AS19" s="147">
        <f>IF(AR19=0,0,IF(AR19="13A（都市ガス）",VLOOKUP("13A",空調負荷率!$AO$3:$AQ$5,2,FALSE),IF(AR19="12A（都市ガス）",VLOOKUP("12A",空調負荷率!$AO$3:$AQ$5,2,FALSE),VLOOKUP("LP",空調負荷率!$C$3:$E$5,2,FALSE))))</f>
        <v>0</v>
      </c>
      <c r="AU19" s="205" t="s">
        <v>58</v>
      </c>
      <c r="AV19" s="250">
        <f t="shared" si="9"/>
        <v>0</v>
      </c>
      <c r="AW19" s="250">
        <f t="shared" si="10"/>
        <v>0</v>
      </c>
      <c r="AX19" s="250">
        <f t="shared" si="11"/>
        <v>0</v>
      </c>
      <c r="AY19" s="250">
        <f t="shared" si="12"/>
        <v>0</v>
      </c>
      <c r="AZ19" s="250">
        <f t="shared" si="13"/>
        <v>0</v>
      </c>
      <c r="BA19" s="250">
        <f t="shared" si="14"/>
        <v>0</v>
      </c>
      <c r="BB19" s="250">
        <f t="shared" si="15"/>
        <v>0</v>
      </c>
      <c r="BC19" s="250">
        <f t="shared" si="16"/>
        <v>0</v>
      </c>
      <c r="BD19" s="250">
        <f t="shared" si="17"/>
        <v>0</v>
      </c>
      <c r="BE19" s="250">
        <f t="shared" si="18"/>
        <v>0</v>
      </c>
      <c r="BF19" s="250" t="str">
        <f t="shared" si="19"/>
        <v>ー</v>
      </c>
      <c r="BG19" s="250" t="str">
        <f t="shared" si="20"/>
        <v>ー</v>
      </c>
      <c r="BH19" s="250">
        <f t="shared" si="21"/>
        <v>0</v>
      </c>
      <c r="BI19" s="212"/>
      <c r="BK19" s="205" t="s">
        <v>58</v>
      </c>
      <c r="BL19" s="251">
        <f t="shared" si="22"/>
        <v>0</v>
      </c>
      <c r="BM19" s="251">
        <f t="shared" si="23"/>
        <v>0</v>
      </c>
      <c r="BN19" s="251">
        <f t="shared" si="24"/>
        <v>0</v>
      </c>
      <c r="BO19" s="251">
        <f t="shared" si="25"/>
        <v>0</v>
      </c>
      <c r="BP19" s="251" t="str">
        <f t="shared" si="26"/>
        <v>ー</v>
      </c>
      <c r="BQ19" s="251" t="str">
        <f t="shared" si="27"/>
        <v>ー</v>
      </c>
      <c r="BR19" s="251" t="str">
        <f t="shared" si="28"/>
        <v>ー</v>
      </c>
      <c r="BS19" s="251" t="str">
        <f t="shared" si="29"/>
        <v>ー</v>
      </c>
      <c r="BT19" s="251">
        <f t="shared" si="30"/>
        <v>0</v>
      </c>
      <c r="BU19" s="251">
        <f t="shared" si="31"/>
        <v>0</v>
      </c>
      <c r="BV19" s="251">
        <f t="shared" si="32"/>
        <v>0</v>
      </c>
      <c r="BW19" s="251">
        <f t="shared" si="33"/>
        <v>0</v>
      </c>
      <c r="BX19" s="251">
        <f t="shared" si="34"/>
        <v>0</v>
      </c>
      <c r="BY19" s="212"/>
    </row>
    <row r="20" spans="2:77">
      <c r="B20" s="205" t="s">
        <v>59</v>
      </c>
      <c r="C20" s="387" t="s">
        <v>979</v>
      </c>
      <c r="D20" s="253">
        <f>IF(空調!E32="",1,MIN(1.5,(2025-空調!E32)*0.02+1))</f>
        <v>1</v>
      </c>
      <c r="E20" s="254">
        <f>空調!H32</f>
        <v>0</v>
      </c>
      <c r="F20" s="147">
        <f>IF(空調!H32="",0,IF(空調!H32="13A（都市ガス）",VLOOKUP("13A",空調負荷率!$C$3:$E$5,2,FALSE),IF(空調!H32="12A（都市ガス）",VLOOKUP("12A",空調負荷率!$C$3:$E$5,2,FALSE),VLOOKUP("LP",空調負荷率!$C$3:$E$5,2,FALSE))))</f>
        <v>0</v>
      </c>
      <c r="H20" s="205" t="s">
        <v>59</v>
      </c>
      <c r="I20" s="251">
        <f>空調!$M32</f>
        <v>0</v>
      </c>
      <c r="J20" s="252">
        <f t="shared" si="35"/>
        <v>0</v>
      </c>
      <c r="K20" s="252">
        <f t="shared" si="0"/>
        <v>0</v>
      </c>
      <c r="L20" s="252">
        <f t="shared" si="36"/>
        <v>0</v>
      </c>
      <c r="M20" s="252">
        <f t="shared" si="37"/>
        <v>0</v>
      </c>
      <c r="N20" s="252">
        <f t="shared" si="38"/>
        <v>0</v>
      </c>
      <c r="O20" s="252">
        <f t="shared" si="39"/>
        <v>0</v>
      </c>
      <c r="P20" s="252">
        <f t="shared" si="1"/>
        <v>0</v>
      </c>
      <c r="Q20" s="252">
        <f t="shared" si="40"/>
        <v>0</v>
      </c>
      <c r="R20" s="384">
        <f t="shared" si="41"/>
        <v>0</v>
      </c>
      <c r="S20" s="252" t="s">
        <v>382</v>
      </c>
      <c r="T20" s="252" t="s">
        <v>382</v>
      </c>
      <c r="U20" s="252">
        <f t="shared" si="2"/>
        <v>0</v>
      </c>
      <c r="V20" s="212"/>
      <c r="X20" s="205" t="s">
        <v>59</v>
      </c>
      <c r="Y20" s="251">
        <f>空調!$R32</f>
        <v>0</v>
      </c>
      <c r="Z20" s="252">
        <f t="shared" si="3"/>
        <v>0</v>
      </c>
      <c r="AA20" s="252">
        <f t="shared" si="42"/>
        <v>0</v>
      </c>
      <c r="AB20" s="384">
        <f t="shared" si="43"/>
        <v>0</v>
      </c>
      <c r="AC20" s="252" t="s">
        <v>382</v>
      </c>
      <c r="AD20" s="252" t="s">
        <v>382</v>
      </c>
      <c r="AE20" s="252" t="s">
        <v>382</v>
      </c>
      <c r="AF20" s="252" t="str">
        <f t="shared" si="44"/>
        <v>ー</v>
      </c>
      <c r="AG20" s="252">
        <f t="shared" si="4"/>
        <v>0</v>
      </c>
      <c r="AH20" s="252">
        <f t="shared" si="5"/>
        <v>0</v>
      </c>
      <c r="AI20" s="252">
        <f t="shared" si="6"/>
        <v>0</v>
      </c>
      <c r="AJ20" s="252">
        <f t="shared" si="7"/>
        <v>0</v>
      </c>
      <c r="AK20" s="252">
        <f t="shared" si="8"/>
        <v>0</v>
      </c>
      <c r="AL20" s="212"/>
      <c r="AN20" s="205" t="s">
        <v>59</v>
      </c>
      <c r="AO20" s="250" t="str">
        <f t="shared" si="45"/>
        <v>事務所</v>
      </c>
      <c r="AP20" s="257">
        <f>空調!F32</f>
        <v>0</v>
      </c>
      <c r="AQ20" s="257">
        <f>空調!Y32</f>
        <v>0</v>
      </c>
      <c r="AR20" s="254">
        <f>空調!AA32</f>
        <v>0</v>
      </c>
      <c r="AS20" s="147">
        <f>IF(AR20=0,0,IF(AR20="13A（都市ガス）",VLOOKUP("13A",空調負荷率!$AO$3:$AQ$5,2,FALSE),IF(AR20="12A（都市ガス）",VLOOKUP("12A",空調負荷率!$AO$3:$AQ$5,2,FALSE),VLOOKUP("LP",空調負荷率!$C$3:$E$5,2,FALSE))))</f>
        <v>0</v>
      </c>
      <c r="AU20" s="205" t="s">
        <v>59</v>
      </c>
      <c r="AV20" s="250">
        <f t="shared" si="9"/>
        <v>0</v>
      </c>
      <c r="AW20" s="250">
        <f t="shared" si="10"/>
        <v>0</v>
      </c>
      <c r="AX20" s="250">
        <f t="shared" si="11"/>
        <v>0</v>
      </c>
      <c r="AY20" s="250">
        <f t="shared" si="12"/>
        <v>0</v>
      </c>
      <c r="AZ20" s="250">
        <f t="shared" si="13"/>
        <v>0</v>
      </c>
      <c r="BA20" s="250">
        <f t="shared" si="14"/>
        <v>0</v>
      </c>
      <c r="BB20" s="250">
        <f t="shared" si="15"/>
        <v>0</v>
      </c>
      <c r="BC20" s="250">
        <f t="shared" si="16"/>
        <v>0</v>
      </c>
      <c r="BD20" s="250">
        <f t="shared" si="17"/>
        <v>0</v>
      </c>
      <c r="BE20" s="250">
        <f t="shared" si="18"/>
        <v>0</v>
      </c>
      <c r="BF20" s="250" t="str">
        <f t="shared" si="19"/>
        <v>ー</v>
      </c>
      <c r="BG20" s="250" t="str">
        <f t="shared" si="20"/>
        <v>ー</v>
      </c>
      <c r="BH20" s="250">
        <f t="shared" si="21"/>
        <v>0</v>
      </c>
      <c r="BI20" s="212"/>
      <c r="BK20" s="205" t="s">
        <v>59</v>
      </c>
      <c r="BL20" s="251">
        <f t="shared" si="22"/>
        <v>0</v>
      </c>
      <c r="BM20" s="251">
        <f t="shared" si="23"/>
        <v>0</v>
      </c>
      <c r="BN20" s="251">
        <f t="shared" si="24"/>
        <v>0</v>
      </c>
      <c r="BO20" s="251">
        <f t="shared" si="25"/>
        <v>0</v>
      </c>
      <c r="BP20" s="251" t="str">
        <f t="shared" si="26"/>
        <v>ー</v>
      </c>
      <c r="BQ20" s="251" t="str">
        <f t="shared" si="27"/>
        <v>ー</v>
      </c>
      <c r="BR20" s="251" t="str">
        <f t="shared" si="28"/>
        <v>ー</v>
      </c>
      <c r="BS20" s="251" t="str">
        <f t="shared" si="29"/>
        <v>ー</v>
      </c>
      <c r="BT20" s="251">
        <f t="shared" si="30"/>
        <v>0</v>
      </c>
      <c r="BU20" s="251">
        <f t="shared" si="31"/>
        <v>0</v>
      </c>
      <c r="BV20" s="251">
        <f t="shared" si="32"/>
        <v>0</v>
      </c>
      <c r="BW20" s="251">
        <f t="shared" si="33"/>
        <v>0</v>
      </c>
      <c r="BX20" s="251">
        <f t="shared" si="34"/>
        <v>0</v>
      </c>
      <c r="BY20" s="212"/>
    </row>
    <row r="21" spans="2:77">
      <c r="B21" s="205" t="s">
        <v>60</v>
      </c>
      <c r="C21" s="387" t="s">
        <v>979</v>
      </c>
      <c r="D21" s="253">
        <f>IF(空調!E33="",1,MIN(1.5,(2025-空調!E33)*0.02+1))</f>
        <v>1</v>
      </c>
      <c r="E21" s="254">
        <f>空調!H33</f>
        <v>0</v>
      </c>
      <c r="F21" s="147">
        <f>IF(空調!H33="",0,IF(空調!H33="13A（都市ガス）",VLOOKUP("13A",空調負荷率!$C$3:$E$5,2,FALSE),IF(空調!H33="12A（都市ガス）",VLOOKUP("12A",空調負荷率!$C$3:$E$5,2,FALSE),VLOOKUP("LP",空調負荷率!$C$3:$E$5,2,FALSE))))</f>
        <v>0</v>
      </c>
      <c r="H21" s="205" t="s">
        <v>60</v>
      </c>
      <c r="I21" s="251">
        <f>空調!$M33</f>
        <v>0</v>
      </c>
      <c r="J21" s="252">
        <f t="shared" si="35"/>
        <v>0</v>
      </c>
      <c r="K21" s="252">
        <f t="shared" si="0"/>
        <v>0</v>
      </c>
      <c r="L21" s="252">
        <f t="shared" si="36"/>
        <v>0</v>
      </c>
      <c r="M21" s="252">
        <f t="shared" si="37"/>
        <v>0</v>
      </c>
      <c r="N21" s="252">
        <f t="shared" si="38"/>
        <v>0</v>
      </c>
      <c r="O21" s="252">
        <f t="shared" si="39"/>
        <v>0</v>
      </c>
      <c r="P21" s="252">
        <f t="shared" si="1"/>
        <v>0</v>
      </c>
      <c r="Q21" s="252">
        <f t="shared" si="40"/>
        <v>0</v>
      </c>
      <c r="R21" s="384">
        <f t="shared" si="41"/>
        <v>0</v>
      </c>
      <c r="S21" s="252" t="s">
        <v>382</v>
      </c>
      <c r="T21" s="252" t="s">
        <v>382</v>
      </c>
      <c r="U21" s="252">
        <f t="shared" si="2"/>
        <v>0</v>
      </c>
      <c r="V21" s="212"/>
      <c r="X21" s="205" t="s">
        <v>60</v>
      </c>
      <c r="Y21" s="251">
        <f>空調!$R33</f>
        <v>0</v>
      </c>
      <c r="Z21" s="252">
        <f t="shared" si="3"/>
        <v>0</v>
      </c>
      <c r="AA21" s="252">
        <f t="shared" si="42"/>
        <v>0</v>
      </c>
      <c r="AB21" s="384">
        <f t="shared" si="43"/>
        <v>0</v>
      </c>
      <c r="AC21" s="252" t="s">
        <v>382</v>
      </c>
      <c r="AD21" s="252" t="s">
        <v>382</v>
      </c>
      <c r="AE21" s="252" t="s">
        <v>382</v>
      </c>
      <c r="AF21" s="252" t="str">
        <f t="shared" si="44"/>
        <v>ー</v>
      </c>
      <c r="AG21" s="252">
        <f t="shared" si="4"/>
        <v>0</v>
      </c>
      <c r="AH21" s="252">
        <f t="shared" si="5"/>
        <v>0</v>
      </c>
      <c r="AI21" s="252">
        <f t="shared" si="6"/>
        <v>0</v>
      </c>
      <c r="AJ21" s="252">
        <f t="shared" si="7"/>
        <v>0</v>
      </c>
      <c r="AK21" s="252">
        <f t="shared" si="8"/>
        <v>0</v>
      </c>
      <c r="AL21" s="212"/>
      <c r="AN21" s="205" t="s">
        <v>60</v>
      </c>
      <c r="AO21" s="250" t="str">
        <f t="shared" si="45"/>
        <v>事務所</v>
      </c>
      <c r="AP21" s="257">
        <f>空調!F33</f>
        <v>0</v>
      </c>
      <c r="AQ21" s="257">
        <f>空調!Y33</f>
        <v>0</v>
      </c>
      <c r="AR21" s="254">
        <f>空調!AA33</f>
        <v>0</v>
      </c>
      <c r="AS21" s="147">
        <f>IF(AR21=0,0,IF(AR21="13A（都市ガス）",VLOOKUP("13A",空調負荷率!$AO$3:$AQ$5,2,FALSE),IF(AR21="12A（都市ガス）",VLOOKUP("12A",空調負荷率!$AO$3:$AQ$5,2,FALSE),VLOOKUP("LP",空調負荷率!$C$3:$E$5,2,FALSE))))</f>
        <v>0</v>
      </c>
      <c r="AU21" s="205" t="s">
        <v>60</v>
      </c>
      <c r="AV21" s="250">
        <f t="shared" si="9"/>
        <v>0</v>
      </c>
      <c r="AW21" s="250">
        <f t="shared" si="10"/>
        <v>0</v>
      </c>
      <c r="AX21" s="250">
        <f t="shared" si="11"/>
        <v>0</v>
      </c>
      <c r="AY21" s="250">
        <f t="shared" si="12"/>
        <v>0</v>
      </c>
      <c r="AZ21" s="250">
        <f t="shared" si="13"/>
        <v>0</v>
      </c>
      <c r="BA21" s="250">
        <f t="shared" si="14"/>
        <v>0</v>
      </c>
      <c r="BB21" s="250">
        <f t="shared" si="15"/>
        <v>0</v>
      </c>
      <c r="BC21" s="250">
        <f t="shared" si="16"/>
        <v>0</v>
      </c>
      <c r="BD21" s="250">
        <f t="shared" si="17"/>
        <v>0</v>
      </c>
      <c r="BE21" s="250">
        <f t="shared" si="18"/>
        <v>0</v>
      </c>
      <c r="BF21" s="250" t="str">
        <f t="shared" si="19"/>
        <v>ー</v>
      </c>
      <c r="BG21" s="250" t="str">
        <f t="shared" si="20"/>
        <v>ー</v>
      </c>
      <c r="BH21" s="250">
        <f t="shared" si="21"/>
        <v>0</v>
      </c>
      <c r="BI21" s="212"/>
      <c r="BK21" s="205" t="s">
        <v>60</v>
      </c>
      <c r="BL21" s="251">
        <f t="shared" si="22"/>
        <v>0</v>
      </c>
      <c r="BM21" s="251">
        <f t="shared" si="23"/>
        <v>0</v>
      </c>
      <c r="BN21" s="251">
        <f t="shared" si="24"/>
        <v>0</v>
      </c>
      <c r="BO21" s="251">
        <f t="shared" si="25"/>
        <v>0</v>
      </c>
      <c r="BP21" s="251" t="str">
        <f t="shared" si="26"/>
        <v>ー</v>
      </c>
      <c r="BQ21" s="251" t="str">
        <f t="shared" si="27"/>
        <v>ー</v>
      </c>
      <c r="BR21" s="251" t="str">
        <f t="shared" si="28"/>
        <v>ー</v>
      </c>
      <c r="BS21" s="251" t="str">
        <f t="shared" si="29"/>
        <v>ー</v>
      </c>
      <c r="BT21" s="251">
        <f t="shared" si="30"/>
        <v>0</v>
      </c>
      <c r="BU21" s="251">
        <f t="shared" si="31"/>
        <v>0</v>
      </c>
      <c r="BV21" s="251">
        <f t="shared" si="32"/>
        <v>0</v>
      </c>
      <c r="BW21" s="251">
        <f t="shared" si="33"/>
        <v>0</v>
      </c>
      <c r="BX21" s="251">
        <f t="shared" si="34"/>
        <v>0</v>
      </c>
      <c r="BY21" s="212"/>
    </row>
    <row r="22" spans="2:77">
      <c r="B22" s="205" t="s">
        <v>61</v>
      </c>
      <c r="C22" s="387" t="s">
        <v>979</v>
      </c>
      <c r="D22" s="253">
        <f>IF(空調!E34="",1,MIN(1.5,(2025-空調!E34)*0.02+1))</f>
        <v>1</v>
      </c>
      <c r="E22" s="254">
        <f>空調!H34</f>
        <v>0</v>
      </c>
      <c r="F22" s="147">
        <f>IF(空調!H34="",0,IF(空調!H34="13A（都市ガス）",VLOOKUP("13A",空調負荷率!$C$3:$E$5,2,FALSE),IF(空調!H34="12A（都市ガス）",VLOOKUP("12A",空調負荷率!$C$3:$E$5,2,FALSE),VLOOKUP("LP",空調負荷率!$C$3:$E$5,2,FALSE))))</f>
        <v>0</v>
      </c>
      <c r="H22" s="205" t="s">
        <v>61</v>
      </c>
      <c r="I22" s="251">
        <f>空調!$M34</f>
        <v>0</v>
      </c>
      <c r="J22" s="252">
        <f t="shared" si="35"/>
        <v>0</v>
      </c>
      <c r="K22" s="252">
        <f t="shared" si="0"/>
        <v>0</v>
      </c>
      <c r="L22" s="252">
        <f t="shared" si="36"/>
        <v>0</v>
      </c>
      <c r="M22" s="252">
        <f t="shared" si="37"/>
        <v>0</v>
      </c>
      <c r="N22" s="252">
        <f t="shared" si="38"/>
        <v>0</v>
      </c>
      <c r="O22" s="252">
        <f t="shared" si="39"/>
        <v>0</v>
      </c>
      <c r="P22" s="252">
        <f t="shared" si="1"/>
        <v>0</v>
      </c>
      <c r="Q22" s="252">
        <f t="shared" si="40"/>
        <v>0</v>
      </c>
      <c r="R22" s="384">
        <f t="shared" si="41"/>
        <v>0</v>
      </c>
      <c r="S22" s="252" t="s">
        <v>382</v>
      </c>
      <c r="T22" s="252" t="s">
        <v>382</v>
      </c>
      <c r="U22" s="252">
        <f t="shared" si="2"/>
        <v>0</v>
      </c>
      <c r="V22" s="212"/>
      <c r="X22" s="205" t="s">
        <v>61</v>
      </c>
      <c r="Y22" s="251">
        <f>空調!$R34</f>
        <v>0</v>
      </c>
      <c r="Z22" s="252">
        <f t="shared" si="3"/>
        <v>0</v>
      </c>
      <c r="AA22" s="252">
        <f t="shared" si="42"/>
        <v>0</v>
      </c>
      <c r="AB22" s="384">
        <f t="shared" si="43"/>
        <v>0</v>
      </c>
      <c r="AC22" s="252" t="s">
        <v>382</v>
      </c>
      <c r="AD22" s="252" t="s">
        <v>382</v>
      </c>
      <c r="AE22" s="252" t="s">
        <v>382</v>
      </c>
      <c r="AF22" s="252" t="str">
        <f t="shared" si="44"/>
        <v>ー</v>
      </c>
      <c r="AG22" s="252">
        <f t="shared" si="4"/>
        <v>0</v>
      </c>
      <c r="AH22" s="252">
        <f t="shared" si="5"/>
        <v>0</v>
      </c>
      <c r="AI22" s="252">
        <f t="shared" si="6"/>
        <v>0</v>
      </c>
      <c r="AJ22" s="252">
        <f t="shared" si="7"/>
        <v>0</v>
      </c>
      <c r="AK22" s="252">
        <f t="shared" si="8"/>
        <v>0</v>
      </c>
      <c r="AL22" s="212"/>
      <c r="AN22" s="205" t="s">
        <v>61</v>
      </c>
      <c r="AO22" s="250" t="str">
        <f t="shared" si="45"/>
        <v>事務所</v>
      </c>
      <c r="AP22" s="257">
        <f>空調!F34</f>
        <v>0</v>
      </c>
      <c r="AQ22" s="257">
        <f>空調!Y34</f>
        <v>0</v>
      </c>
      <c r="AR22" s="254">
        <f>空調!AA34</f>
        <v>0</v>
      </c>
      <c r="AS22" s="147">
        <f>IF(AR22=0,0,IF(AR22="13A（都市ガス）",VLOOKUP("13A",空調負荷率!$AO$3:$AQ$5,2,FALSE),IF(AR22="12A（都市ガス）",VLOOKUP("12A",空調負荷率!$AO$3:$AQ$5,2,FALSE),VLOOKUP("LP",空調負荷率!$C$3:$E$5,2,FALSE))))</f>
        <v>0</v>
      </c>
      <c r="AU22" s="205" t="s">
        <v>61</v>
      </c>
      <c r="AV22" s="250">
        <f t="shared" si="9"/>
        <v>0</v>
      </c>
      <c r="AW22" s="250">
        <f t="shared" si="10"/>
        <v>0</v>
      </c>
      <c r="AX22" s="250">
        <f t="shared" si="11"/>
        <v>0</v>
      </c>
      <c r="AY22" s="250">
        <f t="shared" si="12"/>
        <v>0</v>
      </c>
      <c r="AZ22" s="250">
        <f t="shared" si="13"/>
        <v>0</v>
      </c>
      <c r="BA22" s="250">
        <f t="shared" si="14"/>
        <v>0</v>
      </c>
      <c r="BB22" s="250">
        <f t="shared" si="15"/>
        <v>0</v>
      </c>
      <c r="BC22" s="250">
        <f t="shared" si="16"/>
        <v>0</v>
      </c>
      <c r="BD22" s="250">
        <f t="shared" si="17"/>
        <v>0</v>
      </c>
      <c r="BE22" s="250">
        <f t="shared" si="18"/>
        <v>0</v>
      </c>
      <c r="BF22" s="250" t="str">
        <f t="shared" si="19"/>
        <v>ー</v>
      </c>
      <c r="BG22" s="250" t="str">
        <f t="shared" si="20"/>
        <v>ー</v>
      </c>
      <c r="BH22" s="250">
        <f t="shared" si="21"/>
        <v>0</v>
      </c>
      <c r="BI22" s="212"/>
      <c r="BK22" s="205" t="s">
        <v>61</v>
      </c>
      <c r="BL22" s="251">
        <f t="shared" si="22"/>
        <v>0</v>
      </c>
      <c r="BM22" s="251">
        <f t="shared" si="23"/>
        <v>0</v>
      </c>
      <c r="BN22" s="251">
        <f t="shared" si="24"/>
        <v>0</v>
      </c>
      <c r="BO22" s="251">
        <f t="shared" si="25"/>
        <v>0</v>
      </c>
      <c r="BP22" s="251" t="str">
        <f t="shared" si="26"/>
        <v>ー</v>
      </c>
      <c r="BQ22" s="251" t="str">
        <f t="shared" si="27"/>
        <v>ー</v>
      </c>
      <c r="BR22" s="251" t="str">
        <f t="shared" si="28"/>
        <v>ー</v>
      </c>
      <c r="BS22" s="251" t="str">
        <f t="shared" si="29"/>
        <v>ー</v>
      </c>
      <c r="BT22" s="251">
        <f t="shared" si="30"/>
        <v>0</v>
      </c>
      <c r="BU22" s="251">
        <f t="shared" si="31"/>
        <v>0</v>
      </c>
      <c r="BV22" s="251">
        <f t="shared" si="32"/>
        <v>0</v>
      </c>
      <c r="BW22" s="251">
        <f t="shared" si="33"/>
        <v>0</v>
      </c>
      <c r="BX22" s="251">
        <f t="shared" si="34"/>
        <v>0</v>
      </c>
      <c r="BY22" s="212"/>
    </row>
    <row r="23" spans="2:77">
      <c r="B23" s="205" t="s">
        <v>62</v>
      </c>
      <c r="C23" s="387" t="s">
        <v>979</v>
      </c>
      <c r="D23" s="253">
        <f>IF(空調!E35="",1,MIN(1.5,(2025-空調!E35)*0.02+1))</f>
        <v>1</v>
      </c>
      <c r="E23" s="254">
        <f>空調!H35</f>
        <v>0</v>
      </c>
      <c r="F23" s="147">
        <f>IF(空調!H35="",0,IF(空調!H35="13A（都市ガス）",VLOOKUP("13A",空調負荷率!$C$3:$E$5,2,FALSE),IF(空調!H35="12A（都市ガス）",VLOOKUP("12A",空調負荷率!$C$3:$E$5,2,FALSE),VLOOKUP("LP",空調負荷率!$C$3:$E$5,2,FALSE))))</f>
        <v>0</v>
      </c>
      <c r="H23" s="205" t="s">
        <v>62</v>
      </c>
      <c r="I23" s="251">
        <f>空調!$M35</f>
        <v>0</v>
      </c>
      <c r="J23" s="252">
        <f t="shared" si="35"/>
        <v>0</v>
      </c>
      <c r="K23" s="252">
        <f t="shared" si="0"/>
        <v>0</v>
      </c>
      <c r="L23" s="252">
        <f t="shared" si="36"/>
        <v>0</v>
      </c>
      <c r="M23" s="252">
        <f t="shared" si="37"/>
        <v>0</v>
      </c>
      <c r="N23" s="252">
        <f t="shared" si="38"/>
        <v>0</v>
      </c>
      <c r="O23" s="252">
        <f t="shared" si="39"/>
        <v>0</v>
      </c>
      <c r="P23" s="252">
        <f t="shared" si="1"/>
        <v>0</v>
      </c>
      <c r="Q23" s="252">
        <f t="shared" si="40"/>
        <v>0</v>
      </c>
      <c r="R23" s="384">
        <f t="shared" si="41"/>
        <v>0</v>
      </c>
      <c r="S23" s="252" t="s">
        <v>382</v>
      </c>
      <c r="T23" s="252" t="s">
        <v>382</v>
      </c>
      <c r="U23" s="252">
        <f t="shared" si="2"/>
        <v>0</v>
      </c>
      <c r="V23" s="212"/>
      <c r="X23" s="205" t="s">
        <v>62</v>
      </c>
      <c r="Y23" s="251">
        <f>空調!$R35</f>
        <v>0</v>
      </c>
      <c r="Z23" s="252">
        <f t="shared" si="3"/>
        <v>0</v>
      </c>
      <c r="AA23" s="252">
        <f t="shared" si="42"/>
        <v>0</v>
      </c>
      <c r="AB23" s="384">
        <f t="shared" si="43"/>
        <v>0</v>
      </c>
      <c r="AC23" s="252" t="s">
        <v>382</v>
      </c>
      <c r="AD23" s="252" t="s">
        <v>382</v>
      </c>
      <c r="AE23" s="252" t="s">
        <v>382</v>
      </c>
      <c r="AF23" s="252" t="str">
        <f t="shared" si="44"/>
        <v>ー</v>
      </c>
      <c r="AG23" s="252">
        <f t="shared" si="4"/>
        <v>0</v>
      </c>
      <c r="AH23" s="252">
        <f t="shared" si="5"/>
        <v>0</v>
      </c>
      <c r="AI23" s="252">
        <f t="shared" si="6"/>
        <v>0</v>
      </c>
      <c r="AJ23" s="252">
        <f t="shared" si="7"/>
        <v>0</v>
      </c>
      <c r="AK23" s="252">
        <f t="shared" si="8"/>
        <v>0</v>
      </c>
      <c r="AL23" s="212"/>
      <c r="AN23" s="205" t="s">
        <v>62</v>
      </c>
      <c r="AO23" s="250" t="str">
        <f t="shared" si="45"/>
        <v>事務所</v>
      </c>
      <c r="AP23" s="257">
        <f>空調!F35</f>
        <v>0</v>
      </c>
      <c r="AQ23" s="257">
        <f>空調!Y35</f>
        <v>0</v>
      </c>
      <c r="AR23" s="254">
        <f>空調!AA35</f>
        <v>0</v>
      </c>
      <c r="AS23" s="147">
        <f>IF(AR23=0,0,IF(AR23="13A（都市ガス）",VLOOKUP("13A",空調負荷率!$AO$3:$AQ$5,2,FALSE),IF(AR23="12A（都市ガス）",VLOOKUP("12A",空調負荷率!$AO$3:$AQ$5,2,FALSE),VLOOKUP("LP",空調負荷率!$C$3:$E$5,2,FALSE))))</f>
        <v>0</v>
      </c>
      <c r="AU23" s="205" t="s">
        <v>62</v>
      </c>
      <c r="AV23" s="250">
        <f t="shared" si="9"/>
        <v>0</v>
      </c>
      <c r="AW23" s="250">
        <f t="shared" si="10"/>
        <v>0</v>
      </c>
      <c r="AX23" s="250">
        <f t="shared" si="11"/>
        <v>0</v>
      </c>
      <c r="AY23" s="250">
        <f t="shared" si="12"/>
        <v>0</v>
      </c>
      <c r="AZ23" s="250">
        <f t="shared" si="13"/>
        <v>0</v>
      </c>
      <c r="BA23" s="250">
        <f t="shared" si="14"/>
        <v>0</v>
      </c>
      <c r="BB23" s="250">
        <f t="shared" si="15"/>
        <v>0</v>
      </c>
      <c r="BC23" s="250">
        <f t="shared" si="16"/>
        <v>0</v>
      </c>
      <c r="BD23" s="250">
        <f t="shared" si="17"/>
        <v>0</v>
      </c>
      <c r="BE23" s="250">
        <f t="shared" si="18"/>
        <v>0</v>
      </c>
      <c r="BF23" s="250" t="str">
        <f t="shared" si="19"/>
        <v>ー</v>
      </c>
      <c r="BG23" s="250" t="str">
        <f t="shared" si="20"/>
        <v>ー</v>
      </c>
      <c r="BH23" s="250">
        <f t="shared" si="21"/>
        <v>0</v>
      </c>
      <c r="BI23" s="212"/>
      <c r="BK23" s="205" t="s">
        <v>62</v>
      </c>
      <c r="BL23" s="251">
        <f t="shared" si="22"/>
        <v>0</v>
      </c>
      <c r="BM23" s="251">
        <f t="shared" si="23"/>
        <v>0</v>
      </c>
      <c r="BN23" s="251">
        <f t="shared" si="24"/>
        <v>0</v>
      </c>
      <c r="BO23" s="251">
        <f t="shared" si="25"/>
        <v>0</v>
      </c>
      <c r="BP23" s="251" t="str">
        <f t="shared" si="26"/>
        <v>ー</v>
      </c>
      <c r="BQ23" s="251" t="str">
        <f t="shared" si="27"/>
        <v>ー</v>
      </c>
      <c r="BR23" s="251" t="str">
        <f t="shared" si="28"/>
        <v>ー</v>
      </c>
      <c r="BS23" s="251" t="str">
        <f t="shared" si="29"/>
        <v>ー</v>
      </c>
      <c r="BT23" s="251">
        <f t="shared" si="30"/>
        <v>0</v>
      </c>
      <c r="BU23" s="251">
        <f t="shared" si="31"/>
        <v>0</v>
      </c>
      <c r="BV23" s="251">
        <f t="shared" si="32"/>
        <v>0</v>
      </c>
      <c r="BW23" s="251">
        <f t="shared" si="33"/>
        <v>0</v>
      </c>
      <c r="BX23" s="251">
        <f t="shared" si="34"/>
        <v>0</v>
      </c>
      <c r="BY23" s="212"/>
    </row>
    <row r="24" spans="2:77">
      <c r="B24" s="205" t="s">
        <v>63</v>
      </c>
      <c r="C24" s="387" t="s">
        <v>979</v>
      </c>
      <c r="D24" s="253">
        <f>IF(空調!E36="",1,MIN(1.5,(2025-空調!E36)*0.02+1))</f>
        <v>1</v>
      </c>
      <c r="E24" s="254">
        <f>空調!H36</f>
        <v>0</v>
      </c>
      <c r="F24" s="147">
        <f>IF(空調!H36="",0,IF(空調!H36="13A（都市ガス）",VLOOKUP("13A",空調負荷率!$C$3:$E$5,2,FALSE),IF(空調!H36="12A（都市ガス）",VLOOKUP("12A",空調負荷率!$C$3:$E$5,2,FALSE),VLOOKUP("LP",空調負荷率!$C$3:$E$5,2,FALSE))))</f>
        <v>0</v>
      </c>
      <c r="H24" s="205" t="s">
        <v>63</v>
      </c>
      <c r="I24" s="251">
        <f>空調!$M36</f>
        <v>0</v>
      </c>
      <c r="J24" s="252">
        <f t="shared" si="35"/>
        <v>0</v>
      </c>
      <c r="K24" s="252">
        <f t="shared" si="0"/>
        <v>0</v>
      </c>
      <c r="L24" s="252">
        <f t="shared" si="36"/>
        <v>0</v>
      </c>
      <c r="M24" s="252">
        <f t="shared" si="37"/>
        <v>0</v>
      </c>
      <c r="N24" s="252">
        <f t="shared" si="38"/>
        <v>0</v>
      </c>
      <c r="O24" s="252">
        <f t="shared" si="39"/>
        <v>0</v>
      </c>
      <c r="P24" s="252">
        <f t="shared" si="1"/>
        <v>0</v>
      </c>
      <c r="Q24" s="252">
        <f t="shared" si="40"/>
        <v>0</v>
      </c>
      <c r="R24" s="384">
        <f t="shared" si="41"/>
        <v>0</v>
      </c>
      <c r="S24" s="252" t="s">
        <v>382</v>
      </c>
      <c r="T24" s="252" t="s">
        <v>382</v>
      </c>
      <c r="U24" s="252">
        <f t="shared" si="2"/>
        <v>0</v>
      </c>
      <c r="V24" s="212"/>
      <c r="X24" s="205" t="s">
        <v>63</v>
      </c>
      <c r="Y24" s="251">
        <f>空調!$R36</f>
        <v>0</v>
      </c>
      <c r="Z24" s="252">
        <f t="shared" si="3"/>
        <v>0</v>
      </c>
      <c r="AA24" s="252">
        <f t="shared" si="42"/>
        <v>0</v>
      </c>
      <c r="AB24" s="384">
        <f t="shared" si="43"/>
        <v>0</v>
      </c>
      <c r="AC24" s="252" t="s">
        <v>382</v>
      </c>
      <c r="AD24" s="252" t="s">
        <v>382</v>
      </c>
      <c r="AE24" s="252" t="s">
        <v>382</v>
      </c>
      <c r="AF24" s="252" t="str">
        <f t="shared" si="44"/>
        <v>ー</v>
      </c>
      <c r="AG24" s="252">
        <f t="shared" si="4"/>
        <v>0</v>
      </c>
      <c r="AH24" s="252">
        <f t="shared" si="5"/>
        <v>0</v>
      </c>
      <c r="AI24" s="252">
        <f t="shared" si="6"/>
        <v>0</v>
      </c>
      <c r="AJ24" s="252">
        <f t="shared" si="7"/>
        <v>0</v>
      </c>
      <c r="AK24" s="252">
        <f t="shared" si="8"/>
        <v>0</v>
      </c>
      <c r="AL24" s="212"/>
      <c r="AN24" s="205" t="s">
        <v>63</v>
      </c>
      <c r="AO24" s="250" t="str">
        <f t="shared" si="45"/>
        <v>事務所</v>
      </c>
      <c r="AP24" s="257">
        <f>空調!F36</f>
        <v>0</v>
      </c>
      <c r="AQ24" s="257">
        <f>空調!Y36</f>
        <v>0</v>
      </c>
      <c r="AR24" s="254">
        <f>空調!AA36</f>
        <v>0</v>
      </c>
      <c r="AS24" s="147">
        <f>IF(AR24=0,0,IF(AR24="13A（都市ガス）",VLOOKUP("13A",空調負荷率!$AO$3:$AQ$5,2,FALSE),IF(AR24="12A（都市ガス）",VLOOKUP("12A",空調負荷率!$AO$3:$AQ$5,2,FALSE),VLOOKUP("LP",空調負荷率!$C$3:$E$5,2,FALSE))))</f>
        <v>0</v>
      </c>
      <c r="AU24" s="205" t="s">
        <v>63</v>
      </c>
      <c r="AV24" s="250">
        <f t="shared" si="9"/>
        <v>0</v>
      </c>
      <c r="AW24" s="250">
        <f t="shared" si="10"/>
        <v>0</v>
      </c>
      <c r="AX24" s="250">
        <f t="shared" si="11"/>
        <v>0</v>
      </c>
      <c r="AY24" s="250">
        <f t="shared" si="12"/>
        <v>0</v>
      </c>
      <c r="AZ24" s="250">
        <f t="shared" si="13"/>
        <v>0</v>
      </c>
      <c r="BA24" s="250">
        <f t="shared" si="14"/>
        <v>0</v>
      </c>
      <c r="BB24" s="250">
        <f t="shared" si="15"/>
        <v>0</v>
      </c>
      <c r="BC24" s="250">
        <f t="shared" si="16"/>
        <v>0</v>
      </c>
      <c r="BD24" s="250">
        <f t="shared" si="17"/>
        <v>0</v>
      </c>
      <c r="BE24" s="250">
        <f t="shared" si="18"/>
        <v>0</v>
      </c>
      <c r="BF24" s="250" t="str">
        <f t="shared" si="19"/>
        <v>ー</v>
      </c>
      <c r="BG24" s="250" t="str">
        <f t="shared" si="20"/>
        <v>ー</v>
      </c>
      <c r="BH24" s="250">
        <f t="shared" si="21"/>
        <v>0</v>
      </c>
      <c r="BI24" s="212"/>
      <c r="BK24" s="205" t="s">
        <v>63</v>
      </c>
      <c r="BL24" s="251">
        <f t="shared" si="22"/>
        <v>0</v>
      </c>
      <c r="BM24" s="251">
        <f t="shared" si="23"/>
        <v>0</v>
      </c>
      <c r="BN24" s="251">
        <f t="shared" si="24"/>
        <v>0</v>
      </c>
      <c r="BO24" s="251">
        <f t="shared" si="25"/>
        <v>0</v>
      </c>
      <c r="BP24" s="251" t="str">
        <f t="shared" si="26"/>
        <v>ー</v>
      </c>
      <c r="BQ24" s="251" t="str">
        <f t="shared" si="27"/>
        <v>ー</v>
      </c>
      <c r="BR24" s="251" t="str">
        <f t="shared" si="28"/>
        <v>ー</v>
      </c>
      <c r="BS24" s="251" t="str">
        <f t="shared" si="29"/>
        <v>ー</v>
      </c>
      <c r="BT24" s="251">
        <f t="shared" si="30"/>
        <v>0</v>
      </c>
      <c r="BU24" s="251">
        <f t="shared" si="31"/>
        <v>0</v>
      </c>
      <c r="BV24" s="251">
        <f t="shared" si="32"/>
        <v>0</v>
      </c>
      <c r="BW24" s="251">
        <f t="shared" si="33"/>
        <v>0</v>
      </c>
      <c r="BX24" s="251">
        <f t="shared" si="34"/>
        <v>0</v>
      </c>
      <c r="BY24" s="212"/>
    </row>
    <row r="25" spans="2:77">
      <c r="B25" s="205" t="s">
        <v>64</v>
      </c>
      <c r="C25" s="387" t="s">
        <v>979</v>
      </c>
      <c r="D25" s="253">
        <f>IF(空調!E37="",1,MIN(1.5,(2025-空調!E37)*0.02+1))</f>
        <v>1</v>
      </c>
      <c r="E25" s="254">
        <f>空調!H37</f>
        <v>0</v>
      </c>
      <c r="F25" s="147">
        <f>IF(空調!H37="",0,IF(空調!H37="13A（都市ガス）",VLOOKUP("13A",空調負荷率!$C$3:$E$5,2,FALSE),IF(空調!H37="12A（都市ガス）",VLOOKUP("12A",空調負荷率!$C$3:$E$5,2,FALSE),VLOOKUP("LP",空調負荷率!$C$3:$E$5,2,FALSE))))</f>
        <v>0</v>
      </c>
      <c r="H25" s="205" t="s">
        <v>64</v>
      </c>
      <c r="I25" s="251">
        <f>空調!$M37</f>
        <v>0</v>
      </c>
      <c r="J25" s="252">
        <f t="shared" si="35"/>
        <v>0</v>
      </c>
      <c r="K25" s="252">
        <f t="shared" si="0"/>
        <v>0</v>
      </c>
      <c r="L25" s="252">
        <f t="shared" si="36"/>
        <v>0</v>
      </c>
      <c r="M25" s="252">
        <f t="shared" si="37"/>
        <v>0</v>
      </c>
      <c r="N25" s="252">
        <f t="shared" si="38"/>
        <v>0</v>
      </c>
      <c r="O25" s="252">
        <f t="shared" si="39"/>
        <v>0</v>
      </c>
      <c r="P25" s="252">
        <f t="shared" si="1"/>
        <v>0</v>
      </c>
      <c r="Q25" s="252">
        <f t="shared" si="40"/>
        <v>0</v>
      </c>
      <c r="R25" s="384">
        <f t="shared" si="41"/>
        <v>0</v>
      </c>
      <c r="S25" s="252" t="s">
        <v>382</v>
      </c>
      <c r="T25" s="252" t="s">
        <v>382</v>
      </c>
      <c r="U25" s="252">
        <f t="shared" si="2"/>
        <v>0</v>
      </c>
      <c r="V25" s="212"/>
      <c r="X25" s="205" t="s">
        <v>64</v>
      </c>
      <c r="Y25" s="251">
        <f>空調!$R37</f>
        <v>0</v>
      </c>
      <c r="Z25" s="252">
        <f t="shared" si="3"/>
        <v>0</v>
      </c>
      <c r="AA25" s="252">
        <f t="shared" si="42"/>
        <v>0</v>
      </c>
      <c r="AB25" s="384">
        <f t="shared" si="43"/>
        <v>0</v>
      </c>
      <c r="AC25" s="252" t="s">
        <v>382</v>
      </c>
      <c r="AD25" s="252" t="s">
        <v>382</v>
      </c>
      <c r="AE25" s="252" t="s">
        <v>382</v>
      </c>
      <c r="AF25" s="252" t="str">
        <f t="shared" si="44"/>
        <v>ー</v>
      </c>
      <c r="AG25" s="252">
        <f t="shared" si="4"/>
        <v>0</v>
      </c>
      <c r="AH25" s="252">
        <f t="shared" si="5"/>
        <v>0</v>
      </c>
      <c r="AI25" s="252">
        <f t="shared" si="6"/>
        <v>0</v>
      </c>
      <c r="AJ25" s="252">
        <f t="shared" si="7"/>
        <v>0</v>
      </c>
      <c r="AK25" s="252">
        <f t="shared" si="8"/>
        <v>0</v>
      </c>
      <c r="AL25" s="212"/>
      <c r="AN25" s="205" t="s">
        <v>64</v>
      </c>
      <c r="AO25" s="250" t="str">
        <f t="shared" si="45"/>
        <v>事務所</v>
      </c>
      <c r="AP25" s="257">
        <f>空調!F37</f>
        <v>0</v>
      </c>
      <c r="AQ25" s="257">
        <f>空調!Y37</f>
        <v>0</v>
      </c>
      <c r="AR25" s="254">
        <f>空調!AA37</f>
        <v>0</v>
      </c>
      <c r="AS25" s="147">
        <f>IF(AR25=0,0,IF(AR25="13A（都市ガス）",VLOOKUP("13A",空調負荷率!$AO$3:$AQ$5,2,FALSE),IF(AR25="12A（都市ガス）",VLOOKUP("12A",空調負荷率!$AO$3:$AQ$5,2,FALSE),VLOOKUP("LP",空調負荷率!$C$3:$E$5,2,FALSE))))</f>
        <v>0</v>
      </c>
      <c r="AU25" s="205" t="s">
        <v>64</v>
      </c>
      <c r="AV25" s="250">
        <f t="shared" si="9"/>
        <v>0</v>
      </c>
      <c r="AW25" s="250">
        <f t="shared" si="10"/>
        <v>0</v>
      </c>
      <c r="AX25" s="250">
        <f t="shared" si="11"/>
        <v>0</v>
      </c>
      <c r="AY25" s="250">
        <f t="shared" si="12"/>
        <v>0</v>
      </c>
      <c r="AZ25" s="250">
        <f t="shared" si="13"/>
        <v>0</v>
      </c>
      <c r="BA25" s="250">
        <f t="shared" si="14"/>
        <v>0</v>
      </c>
      <c r="BB25" s="250">
        <f t="shared" si="15"/>
        <v>0</v>
      </c>
      <c r="BC25" s="250">
        <f t="shared" si="16"/>
        <v>0</v>
      </c>
      <c r="BD25" s="250">
        <f t="shared" si="17"/>
        <v>0</v>
      </c>
      <c r="BE25" s="250">
        <f t="shared" si="18"/>
        <v>0</v>
      </c>
      <c r="BF25" s="250" t="str">
        <f t="shared" si="19"/>
        <v>ー</v>
      </c>
      <c r="BG25" s="250" t="str">
        <f t="shared" si="20"/>
        <v>ー</v>
      </c>
      <c r="BH25" s="250">
        <f t="shared" si="21"/>
        <v>0</v>
      </c>
      <c r="BI25" s="212"/>
      <c r="BK25" s="205" t="s">
        <v>64</v>
      </c>
      <c r="BL25" s="251">
        <f t="shared" si="22"/>
        <v>0</v>
      </c>
      <c r="BM25" s="251">
        <f t="shared" si="23"/>
        <v>0</v>
      </c>
      <c r="BN25" s="251">
        <f t="shared" si="24"/>
        <v>0</v>
      </c>
      <c r="BO25" s="251">
        <f t="shared" si="25"/>
        <v>0</v>
      </c>
      <c r="BP25" s="251" t="str">
        <f t="shared" si="26"/>
        <v>ー</v>
      </c>
      <c r="BQ25" s="251" t="str">
        <f t="shared" si="27"/>
        <v>ー</v>
      </c>
      <c r="BR25" s="251" t="str">
        <f t="shared" si="28"/>
        <v>ー</v>
      </c>
      <c r="BS25" s="251" t="str">
        <f t="shared" si="29"/>
        <v>ー</v>
      </c>
      <c r="BT25" s="251">
        <f t="shared" si="30"/>
        <v>0</v>
      </c>
      <c r="BU25" s="251">
        <f t="shared" si="31"/>
        <v>0</v>
      </c>
      <c r="BV25" s="251">
        <f t="shared" si="32"/>
        <v>0</v>
      </c>
      <c r="BW25" s="251">
        <f t="shared" si="33"/>
        <v>0</v>
      </c>
      <c r="BX25" s="251">
        <f t="shared" si="34"/>
        <v>0</v>
      </c>
      <c r="BY25" s="212"/>
    </row>
    <row r="26" spans="2:77">
      <c r="B26" s="205" t="s">
        <v>65</v>
      </c>
      <c r="C26" s="387" t="s">
        <v>979</v>
      </c>
      <c r="D26" s="253">
        <f>IF(空調!E38="",1,MIN(1.5,(2025-空調!E38)*0.02+1))</f>
        <v>1</v>
      </c>
      <c r="E26" s="254">
        <f>空調!H38</f>
        <v>0</v>
      </c>
      <c r="F26" s="147">
        <f>IF(空調!H38="",0,IF(空調!H38="13A（都市ガス）",VLOOKUP("13A",空調負荷率!$C$3:$E$5,2,FALSE),IF(空調!H38="12A（都市ガス）",VLOOKUP("12A",空調負荷率!$C$3:$E$5,2,FALSE),VLOOKUP("LP",空調負荷率!$C$3:$E$5,2,FALSE))))</f>
        <v>0</v>
      </c>
      <c r="H26" s="205" t="s">
        <v>65</v>
      </c>
      <c r="I26" s="251">
        <f>空調!$M38</f>
        <v>0</v>
      </c>
      <c r="J26" s="252">
        <f t="shared" si="35"/>
        <v>0</v>
      </c>
      <c r="K26" s="252">
        <f t="shared" si="0"/>
        <v>0</v>
      </c>
      <c r="L26" s="252">
        <f t="shared" si="36"/>
        <v>0</v>
      </c>
      <c r="M26" s="252">
        <f t="shared" si="37"/>
        <v>0</v>
      </c>
      <c r="N26" s="252">
        <f t="shared" si="38"/>
        <v>0</v>
      </c>
      <c r="O26" s="252">
        <f t="shared" si="39"/>
        <v>0</v>
      </c>
      <c r="P26" s="252">
        <f t="shared" si="1"/>
        <v>0</v>
      </c>
      <c r="Q26" s="252">
        <f t="shared" si="40"/>
        <v>0</v>
      </c>
      <c r="R26" s="384">
        <f t="shared" si="41"/>
        <v>0</v>
      </c>
      <c r="S26" s="252" t="s">
        <v>382</v>
      </c>
      <c r="T26" s="252" t="s">
        <v>382</v>
      </c>
      <c r="U26" s="252">
        <f t="shared" si="2"/>
        <v>0</v>
      </c>
      <c r="V26" s="212"/>
      <c r="X26" s="205" t="s">
        <v>65</v>
      </c>
      <c r="Y26" s="251">
        <f>空調!$R38</f>
        <v>0</v>
      </c>
      <c r="Z26" s="252">
        <f t="shared" si="3"/>
        <v>0</v>
      </c>
      <c r="AA26" s="252">
        <f t="shared" si="42"/>
        <v>0</v>
      </c>
      <c r="AB26" s="384">
        <f t="shared" si="43"/>
        <v>0</v>
      </c>
      <c r="AC26" s="252" t="s">
        <v>382</v>
      </c>
      <c r="AD26" s="252" t="s">
        <v>382</v>
      </c>
      <c r="AE26" s="252" t="s">
        <v>382</v>
      </c>
      <c r="AF26" s="252" t="str">
        <f t="shared" si="44"/>
        <v>ー</v>
      </c>
      <c r="AG26" s="252">
        <f t="shared" si="4"/>
        <v>0</v>
      </c>
      <c r="AH26" s="252">
        <f t="shared" si="5"/>
        <v>0</v>
      </c>
      <c r="AI26" s="252">
        <f t="shared" si="6"/>
        <v>0</v>
      </c>
      <c r="AJ26" s="252">
        <f t="shared" si="7"/>
        <v>0</v>
      </c>
      <c r="AK26" s="252">
        <f t="shared" si="8"/>
        <v>0</v>
      </c>
      <c r="AL26" s="212"/>
      <c r="AN26" s="205" t="s">
        <v>65</v>
      </c>
      <c r="AO26" s="250" t="str">
        <f t="shared" si="45"/>
        <v>事務所</v>
      </c>
      <c r="AP26" s="257">
        <f>空調!F38</f>
        <v>0</v>
      </c>
      <c r="AQ26" s="257">
        <f>空調!Y38</f>
        <v>0</v>
      </c>
      <c r="AR26" s="254">
        <f>空調!AA38</f>
        <v>0</v>
      </c>
      <c r="AS26" s="147">
        <f>IF(AR26=0,0,IF(AR26="13A（都市ガス）",VLOOKUP("13A",空調負荷率!$AO$3:$AQ$5,2,FALSE),IF(AR26="12A（都市ガス）",VLOOKUP("12A",空調負荷率!$AO$3:$AQ$5,2,FALSE),VLOOKUP("LP",空調負荷率!$C$3:$E$5,2,FALSE))))</f>
        <v>0</v>
      </c>
      <c r="AU26" s="205" t="s">
        <v>65</v>
      </c>
      <c r="AV26" s="250">
        <f t="shared" si="9"/>
        <v>0</v>
      </c>
      <c r="AW26" s="250">
        <f t="shared" si="10"/>
        <v>0</v>
      </c>
      <c r="AX26" s="250">
        <f t="shared" si="11"/>
        <v>0</v>
      </c>
      <c r="AY26" s="250">
        <f t="shared" si="12"/>
        <v>0</v>
      </c>
      <c r="AZ26" s="250">
        <f t="shared" si="13"/>
        <v>0</v>
      </c>
      <c r="BA26" s="250">
        <f t="shared" si="14"/>
        <v>0</v>
      </c>
      <c r="BB26" s="250">
        <f t="shared" si="15"/>
        <v>0</v>
      </c>
      <c r="BC26" s="250">
        <f t="shared" si="16"/>
        <v>0</v>
      </c>
      <c r="BD26" s="250">
        <f t="shared" si="17"/>
        <v>0</v>
      </c>
      <c r="BE26" s="250">
        <f t="shared" si="18"/>
        <v>0</v>
      </c>
      <c r="BF26" s="250" t="str">
        <f t="shared" si="19"/>
        <v>ー</v>
      </c>
      <c r="BG26" s="250" t="str">
        <f t="shared" si="20"/>
        <v>ー</v>
      </c>
      <c r="BH26" s="250">
        <f t="shared" si="21"/>
        <v>0</v>
      </c>
      <c r="BI26" s="212"/>
      <c r="BK26" s="205" t="s">
        <v>65</v>
      </c>
      <c r="BL26" s="251">
        <f t="shared" si="22"/>
        <v>0</v>
      </c>
      <c r="BM26" s="251">
        <f t="shared" si="23"/>
        <v>0</v>
      </c>
      <c r="BN26" s="251">
        <f t="shared" si="24"/>
        <v>0</v>
      </c>
      <c r="BO26" s="251">
        <f t="shared" si="25"/>
        <v>0</v>
      </c>
      <c r="BP26" s="251" t="str">
        <f t="shared" si="26"/>
        <v>ー</v>
      </c>
      <c r="BQ26" s="251" t="str">
        <f t="shared" si="27"/>
        <v>ー</v>
      </c>
      <c r="BR26" s="251" t="str">
        <f t="shared" si="28"/>
        <v>ー</v>
      </c>
      <c r="BS26" s="251" t="str">
        <f t="shared" si="29"/>
        <v>ー</v>
      </c>
      <c r="BT26" s="251">
        <f t="shared" si="30"/>
        <v>0</v>
      </c>
      <c r="BU26" s="251">
        <f t="shared" si="31"/>
        <v>0</v>
      </c>
      <c r="BV26" s="251">
        <f t="shared" si="32"/>
        <v>0</v>
      </c>
      <c r="BW26" s="251">
        <f t="shared" si="33"/>
        <v>0</v>
      </c>
      <c r="BX26" s="251">
        <f t="shared" si="34"/>
        <v>0</v>
      </c>
      <c r="BY26" s="212"/>
    </row>
    <row r="27" spans="2:77">
      <c r="B27" s="205" t="s">
        <v>66</v>
      </c>
      <c r="C27" s="387" t="s">
        <v>979</v>
      </c>
      <c r="D27" s="253">
        <f>IF(空調!E39="",1,MIN(1.5,(2025-空調!E39)*0.02+1))</f>
        <v>1</v>
      </c>
      <c r="E27" s="254">
        <f>空調!H39</f>
        <v>0</v>
      </c>
      <c r="F27" s="147">
        <f>IF(空調!H39="",0,IF(空調!H39="13A（都市ガス）",VLOOKUP("13A",空調負荷率!$C$3:$E$5,2,FALSE),IF(空調!H39="12A（都市ガス）",VLOOKUP("12A",空調負荷率!$C$3:$E$5,2,FALSE),VLOOKUP("LP",空調負荷率!$C$3:$E$5,2,FALSE))))</f>
        <v>0</v>
      </c>
      <c r="H27" s="205" t="s">
        <v>66</v>
      </c>
      <c r="I27" s="251">
        <f>空調!$M39</f>
        <v>0</v>
      </c>
      <c r="J27" s="252">
        <f t="shared" si="35"/>
        <v>0</v>
      </c>
      <c r="K27" s="252">
        <f t="shared" si="0"/>
        <v>0</v>
      </c>
      <c r="L27" s="252">
        <f t="shared" si="36"/>
        <v>0</v>
      </c>
      <c r="M27" s="252">
        <f t="shared" si="37"/>
        <v>0</v>
      </c>
      <c r="N27" s="252">
        <f t="shared" si="38"/>
        <v>0</v>
      </c>
      <c r="O27" s="252">
        <f t="shared" si="39"/>
        <v>0</v>
      </c>
      <c r="P27" s="252">
        <f t="shared" si="1"/>
        <v>0</v>
      </c>
      <c r="Q27" s="252">
        <f t="shared" si="40"/>
        <v>0</v>
      </c>
      <c r="R27" s="384">
        <f t="shared" si="41"/>
        <v>0</v>
      </c>
      <c r="S27" s="252" t="s">
        <v>382</v>
      </c>
      <c r="T27" s="252" t="s">
        <v>382</v>
      </c>
      <c r="U27" s="252">
        <f t="shared" si="2"/>
        <v>0</v>
      </c>
      <c r="V27" s="212"/>
      <c r="X27" s="205" t="s">
        <v>66</v>
      </c>
      <c r="Y27" s="251">
        <f>空調!$R39</f>
        <v>0</v>
      </c>
      <c r="Z27" s="252">
        <f t="shared" si="3"/>
        <v>0</v>
      </c>
      <c r="AA27" s="252">
        <f t="shared" si="42"/>
        <v>0</v>
      </c>
      <c r="AB27" s="384">
        <f t="shared" si="43"/>
        <v>0</v>
      </c>
      <c r="AC27" s="252" t="s">
        <v>382</v>
      </c>
      <c r="AD27" s="252" t="s">
        <v>382</v>
      </c>
      <c r="AE27" s="252" t="s">
        <v>382</v>
      </c>
      <c r="AF27" s="252" t="str">
        <f t="shared" si="44"/>
        <v>ー</v>
      </c>
      <c r="AG27" s="252">
        <f t="shared" si="4"/>
        <v>0</v>
      </c>
      <c r="AH27" s="252">
        <f t="shared" si="5"/>
        <v>0</v>
      </c>
      <c r="AI27" s="252">
        <f t="shared" si="6"/>
        <v>0</v>
      </c>
      <c r="AJ27" s="252">
        <f t="shared" si="7"/>
        <v>0</v>
      </c>
      <c r="AK27" s="252">
        <f t="shared" si="8"/>
        <v>0</v>
      </c>
      <c r="AL27" s="212"/>
      <c r="AN27" s="205" t="s">
        <v>66</v>
      </c>
      <c r="AO27" s="250" t="str">
        <f t="shared" si="45"/>
        <v>事務所</v>
      </c>
      <c r="AP27" s="257">
        <f>空調!F39</f>
        <v>0</v>
      </c>
      <c r="AQ27" s="257">
        <f>空調!Y39</f>
        <v>0</v>
      </c>
      <c r="AR27" s="254">
        <f>空調!AA39</f>
        <v>0</v>
      </c>
      <c r="AS27" s="147">
        <f>IF(AR27=0,0,IF(AR27="13A（都市ガス）",VLOOKUP("13A",空調負荷率!$AO$3:$AQ$5,2,FALSE),IF(AR27="12A（都市ガス）",VLOOKUP("12A",空調負荷率!$AO$3:$AQ$5,2,FALSE),VLOOKUP("LP",空調負荷率!$C$3:$E$5,2,FALSE))))</f>
        <v>0</v>
      </c>
      <c r="AU27" s="205" t="s">
        <v>66</v>
      </c>
      <c r="AV27" s="250">
        <f t="shared" si="9"/>
        <v>0</v>
      </c>
      <c r="AW27" s="250">
        <f t="shared" si="10"/>
        <v>0</v>
      </c>
      <c r="AX27" s="250">
        <f t="shared" si="11"/>
        <v>0</v>
      </c>
      <c r="AY27" s="250">
        <f t="shared" si="12"/>
        <v>0</v>
      </c>
      <c r="AZ27" s="250">
        <f t="shared" si="13"/>
        <v>0</v>
      </c>
      <c r="BA27" s="250">
        <f t="shared" si="14"/>
        <v>0</v>
      </c>
      <c r="BB27" s="250">
        <f t="shared" si="15"/>
        <v>0</v>
      </c>
      <c r="BC27" s="250">
        <f t="shared" si="16"/>
        <v>0</v>
      </c>
      <c r="BD27" s="250">
        <f t="shared" si="17"/>
        <v>0</v>
      </c>
      <c r="BE27" s="250">
        <f t="shared" si="18"/>
        <v>0</v>
      </c>
      <c r="BF27" s="250" t="str">
        <f t="shared" si="19"/>
        <v>ー</v>
      </c>
      <c r="BG27" s="250" t="str">
        <f t="shared" si="20"/>
        <v>ー</v>
      </c>
      <c r="BH27" s="250">
        <f t="shared" si="21"/>
        <v>0</v>
      </c>
      <c r="BI27" s="212"/>
      <c r="BK27" s="205" t="s">
        <v>66</v>
      </c>
      <c r="BL27" s="251">
        <f t="shared" si="22"/>
        <v>0</v>
      </c>
      <c r="BM27" s="251">
        <f t="shared" si="23"/>
        <v>0</v>
      </c>
      <c r="BN27" s="251">
        <f t="shared" si="24"/>
        <v>0</v>
      </c>
      <c r="BO27" s="251">
        <f t="shared" si="25"/>
        <v>0</v>
      </c>
      <c r="BP27" s="251" t="str">
        <f t="shared" si="26"/>
        <v>ー</v>
      </c>
      <c r="BQ27" s="251" t="str">
        <f t="shared" si="27"/>
        <v>ー</v>
      </c>
      <c r="BR27" s="251" t="str">
        <f t="shared" si="28"/>
        <v>ー</v>
      </c>
      <c r="BS27" s="251" t="str">
        <f t="shared" si="29"/>
        <v>ー</v>
      </c>
      <c r="BT27" s="251">
        <f t="shared" si="30"/>
        <v>0</v>
      </c>
      <c r="BU27" s="251">
        <f t="shared" si="31"/>
        <v>0</v>
      </c>
      <c r="BV27" s="251">
        <f t="shared" si="32"/>
        <v>0</v>
      </c>
      <c r="BW27" s="251">
        <f t="shared" si="33"/>
        <v>0</v>
      </c>
      <c r="BX27" s="251">
        <f t="shared" si="34"/>
        <v>0</v>
      </c>
      <c r="BY27" s="212"/>
    </row>
    <row r="28" spans="2:77">
      <c r="B28" s="205" t="s">
        <v>67</v>
      </c>
      <c r="C28" s="387" t="s">
        <v>979</v>
      </c>
      <c r="D28" s="253">
        <f>IF(空調!E40="",1,MIN(1.5,(2025-空調!E40)*0.02+1))</f>
        <v>1</v>
      </c>
      <c r="E28" s="254">
        <f>空調!H40</f>
        <v>0</v>
      </c>
      <c r="F28" s="147">
        <f>IF(空調!H40="",0,IF(空調!H40="13A（都市ガス）",VLOOKUP("13A",空調負荷率!$C$3:$E$5,2,FALSE),IF(空調!H40="12A（都市ガス）",VLOOKUP("12A",空調負荷率!$C$3:$E$5,2,FALSE),VLOOKUP("LP",空調負荷率!$C$3:$E$5,2,FALSE))))</f>
        <v>0</v>
      </c>
      <c r="H28" s="205" t="s">
        <v>67</v>
      </c>
      <c r="I28" s="251">
        <f>空調!$M40</f>
        <v>0</v>
      </c>
      <c r="J28" s="252">
        <f t="shared" si="35"/>
        <v>0</v>
      </c>
      <c r="K28" s="252">
        <f t="shared" si="0"/>
        <v>0</v>
      </c>
      <c r="L28" s="252">
        <f t="shared" si="36"/>
        <v>0</v>
      </c>
      <c r="M28" s="252">
        <f t="shared" si="37"/>
        <v>0</v>
      </c>
      <c r="N28" s="252">
        <f t="shared" si="38"/>
        <v>0</v>
      </c>
      <c r="O28" s="252">
        <f t="shared" si="39"/>
        <v>0</v>
      </c>
      <c r="P28" s="252">
        <f t="shared" si="1"/>
        <v>0</v>
      </c>
      <c r="Q28" s="252">
        <f t="shared" si="40"/>
        <v>0</v>
      </c>
      <c r="R28" s="384">
        <f t="shared" si="41"/>
        <v>0</v>
      </c>
      <c r="S28" s="252" t="s">
        <v>382</v>
      </c>
      <c r="T28" s="252" t="s">
        <v>382</v>
      </c>
      <c r="U28" s="252">
        <f t="shared" si="2"/>
        <v>0</v>
      </c>
      <c r="V28" s="212"/>
      <c r="X28" s="205" t="s">
        <v>67</v>
      </c>
      <c r="Y28" s="251">
        <f>空調!$R40</f>
        <v>0</v>
      </c>
      <c r="Z28" s="252">
        <f t="shared" si="3"/>
        <v>0</v>
      </c>
      <c r="AA28" s="252">
        <f t="shared" si="42"/>
        <v>0</v>
      </c>
      <c r="AB28" s="384">
        <f t="shared" si="43"/>
        <v>0</v>
      </c>
      <c r="AC28" s="252" t="s">
        <v>382</v>
      </c>
      <c r="AD28" s="252" t="s">
        <v>382</v>
      </c>
      <c r="AE28" s="252" t="s">
        <v>382</v>
      </c>
      <c r="AF28" s="252" t="str">
        <f t="shared" si="44"/>
        <v>ー</v>
      </c>
      <c r="AG28" s="252">
        <f t="shared" si="4"/>
        <v>0</v>
      </c>
      <c r="AH28" s="252">
        <f t="shared" si="5"/>
        <v>0</v>
      </c>
      <c r="AI28" s="252">
        <f t="shared" si="6"/>
        <v>0</v>
      </c>
      <c r="AJ28" s="252">
        <f t="shared" si="7"/>
        <v>0</v>
      </c>
      <c r="AK28" s="252">
        <f t="shared" si="8"/>
        <v>0</v>
      </c>
      <c r="AL28" s="212"/>
      <c r="AN28" s="205" t="s">
        <v>67</v>
      </c>
      <c r="AO28" s="250" t="str">
        <f t="shared" si="45"/>
        <v>事務所</v>
      </c>
      <c r="AP28" s="257">
        <f>空調!F40</f>
        <v>0</v>
      </c>
      <c r="AQ28" s="257">
        <f>空調!Y40</f>
        <v>0</v>
      </c>
      <c r="AR28" s="254">
        <f>空調!AA40</f>
        <v>0</v>
      </c>
      <c r="AS28" s="147">
        <f>IF(AR28=0,0,IF(AR28="13A（都市ガス）",VLOOKUP("13A",空調負荷率!$AO$3:$AQ$5,2,FALSE),IF(AR28="12A（都市ガス）",VLOOKUP("12A",空調負荷率!$AO$3:$AQ$5,2,FALSE),VLOOKUP("LP",空調負荷率!$C$3:$E$5,2,FALSE))))</f>
        <v>0</v>
      </c>
      <c r="AU28" s="205" t="s">
        <v>67</v>
      </c>
      <c r="AV28" s="250">
        <f t="shared" si="9"/>
        <v>0</v>
      </c>
      <c r="AW28" s="250">
        <f t="shared" si="10"/>
        <v>0</v>
      </c>
      <c r="AX28" s="250">
        <f t="shared" si="11"/>
        <v>0</v>
      </c>
      <c r="AY28" s="250">
        <f t="shared" si="12"/>
        <v>0</v>
      </c>
      <c r="AZ28" s="250">
        <f t="shared" si="13"/>
        <v>0</v>
      </c>
      <c r="BA28" s="250">
        <f t="shared" si="14"/>
        <v>0</v>
      </c>
      <c r="BB28" s="250">
        <f t="shared" si="15"/>
        <v>0</v>
      </c>
      <c r="BC28" s="250">
        <f t="shared" si="16"/>
        <v>0</v>
      </c>
      <c r="BD28" s="250">
        <f t="shared" si="17"/>
        <v>0</v>
      </c>
      <c r="BE28" s="250">
        <f t="shared" si="18"/>
        <v>0</v>
      </c>
      <c r="BF28" s="250" t="str">
        <f t="shared" si="19"/>
        <v>ー</v>
      </c>
      <c r="BG28" s="250" t="str">
        <f t="shared" si="20"/>
        <v>ー</v>
      </c>
      <c r="BH28" s="250">
        <f t="shared" si="21"/>
        <v>0</v>
      </c>
      <c r="BI28" s="212"/>
      <c r="BK28" s="205" t="s">
        <v>67</v>
      </c>
      <c r="BL28" s="251">
        <f t="shared" si="22"/>
        <v>0</v>
      </c>
      <c r="BM28" s="251">
        <f t="shared" si="23"/>
        <v>0</v>
      </c>
      <c r="BN28" s="251">
        <f t="shared" si="24"/>
        <v>0</v>
      </c>
      <c r="BO28" s="251">
        <f t="shared" si="25"/>
        <v>0</v>
      </c>
      <c r="BP28" s="251" t="str">
        <f t="shared" si="26"/>
        <v>ー</v>
      </c>
      <c r="BQ28" s="251" t="str">
        <f t="shared" si="27"/>
        <v>ー</v>
      </c>
      <c r="BR28" s="251" t="str">
        <f t="shared" si="28"/>
        <v>ー</v>
      </c>
      <c r="BS28" s="251" t="str">
        <f t="shared" si="29"/>
        <v>ー</v>
      </c>
      <c r="BT28" s="251">
        <f t="shared" si="30"/>
        <v>0</v>
      </c>
      <c r="BU28" s="251">
        <f t="shared" si="31"/>
        <v>0</v>
      </c>
      <c r="BV28" s="251">
        <f t="shared" si="32"/>
        <v>0</v>
      </c>
      <c r="BW28" s="251">
        <f t="shared" si="33"/>
        <v>0</v>
      </c>
      <c r="BX28" s="251">
        <f t="shared" si="34"/>
        <v>0</v>
      </c>
      <c r="BY28" s="212"/>
    </row>
    <row r="29" spans="2:77">
      <c r="B29" s="205" t="s">
        <v>68</v>
      </c>
      <c r="C29" s="387" t="s">
        <v>979</v>
      </c>
      <c r="D29" s="253">
        <f>IF(空調!E41="",1,MIN(1.5,(2025-空調!E41)*0.02+1))</f>
        <v>1</v>
      </c>
      <c r="E29" s="254">
        <f>空調!H41</f>
        <v>0</v>
      </c>
      <c r="F29" s="147">
        <f>IF(空調!H41="",0,IF(空調!H41="13A（都市ガス）",VLOOKUP("13A",空調負荷率!$C$3:$E$5,2,FALSE),IF(空調!H41="12A（都市ガス）",VLOOKUP("12A",空調負荷率!$C$3:$E$5,2,FALSE),VLOOKUP("LP",空調負荷率!$C$3:$E$5,2,FALSE))))</f>
        <v>0</v>
      </c>
      <c r="H29" s="205" t="s">
        <v>68</v>
      </c>
      <c r="I29" s="251">
        <f>空調!$M41</f>
        <v>0</v>
      </c>
      <c r="J29" s="252">
        <f t="shared" si="35"/>
        <v>0</v>
      </c>
      <c r="K29" s="252">
        <f t="shared" si="0"/>
        <v>0</v>
      </c>
      <c r="L29" s="252">
        <f t="shared" si="36"/>
        <v>0</v>
      </c>
      <c r="M29" s="252">
        <f t="shared" si="37"/>
        <v>0</v>
      </c>
      <c r="N29" s="252">
        <f t="shared" si="38"/>
        <v>0</v>
      </c>
      <c r="O29" s="252">
        <f t="shared" si="39"/>
        <v>0</v>
      </c>
      <c r="P29" s="252">
        <f t="shared" si="1"/>
        <v>0</v>
      </c>
      <c r="Q29" s="252">
        <f t="shared" si="40"/>
        <v>0</v>
      </c>
      <c r="R29" s="384">
        <f>IF($C29="事務所",MIN(I29-SUM(J29:Q29,U29),SUM(R$3:T$3)),MIN(I29-SUM(J29:Q29,U29),SUM(R$3:T$3)))</f>
        <v>0</v>
      </c>
      <c r="S29" s="252" t="s">
        <v>382</v>
      </c>
      <c r="T29" s="252" t="s">
        <v>382</v>
      </c>
      <c r="U29" s="252">
        <f t="shared" si="2"/>
        <v>0</v>
      </c>
      <c r="V29" s="212"/>
      <c r="X29" s="205" t="s">
        <v>68</v>
      </c>
      <c r="Y29" s="251">
        <f>空調!$R41</f>
        <v>0</v>
      </c>
      <c r="Z29" s="252">
        <f t="shared" si="3"/>
        <v>0</v>
      </c>
      <c r="AA29" s="252">
        <f t="shared" si="42"/>
        <v>0</v>
      </c>
      <c r="AB29" s="384">
        <f>IF($C29="事務所",MIN(Y29-SUM(AG29:AK29,Z29:AA29),SUM(AB$3:AF$3)),MIN(Y29-SUM(AF29:AK29,Z29:AA29),SUM(AB$3:AE$3)))</f>
        <v>0</v>
      </c>
      <c r="AC29" s="252" t="s">
        <v>382</v>
      </c>
      <c r="AD29" s="252" t="s">
        <v>382</v>
      </c>
      <c r="AE29" s="252" t="s">
        <v>382</v>
      </c>
      <c r="AF29" s="252" t="str">
        <f t="shared" si="44"/>
        <v>ー</v>
      </c>
      <c r="AG29" s="252">
        <f t="shared" si="4"/>
        <v>0</v>
      </c>
      <c r="AH29" s="252">
        <f t="shared" si="5"/>
        <v>0</v>
      </c>
      <c r="AI29" s="252">
        <f t="shared" si="6"/>
        <v>0</v>
      </c>
      <c r="AJ29" s="252">
        <f t="shared" si="7"/>
        <v>0</v>
      </c>
      <c r="AK29" s="252">
        <f t="shared" si="8"/>
        <v>0</v>
      </c>
      <c r="AL29" s="212"/>
      <c r="AN29" s="205" t="s">
        <v>68</v>
      </c>
      <c r="AO29" s="250" t="str">
        <f t="shared" si="45"/>
        <v>事務所</v>
      </c>
      <c r="AP29" s="257">
        <f>空調!F41</f>
        <v>0</v>
      </c>
      <c r="AQ29" s="257">
        <f>空調!Y41</f>
        <v>0</v>
      </c>
      <c r="AR29" s="254">
        <f>空調!AA41</f>
        <v>0</v>
      </c>
      <c r="AS29" s="147">
        <f>IF(AR29=0,0,IF(AR29="13A（都市ガス）",VLOOKUP("13A",空調負荷率!$AO$3:$AQ$5,2,FALSE),IF(AR29="12A（都市ガス）",VLOOKUP("12A",空調負荷率!$AO$3:$AQ$5,2,FALSE),VLOOKUP("LP",空調負荷率!$C$3:$E$5,2,FALSE))))</f>
        <v>0</v>
      </c>
      <c r="AU29" s="205" t="s">
        <v>68</v>
      </c>
      <c r="AV29" s="250">
        <f t="shared" si="9"/>
        <v>0</v>
      </c>
      <c r="AW29" s="250">
        <f t="shared" si="10"/>
        <v>0</v>
      </c>
      <c r="AX29" s="250">
        <f t="shared" si="11"/>
        <v>0</v>
      </c>
      <c r="AY29" s="250">
        <f t="shared" si="12"/>
        <v>0</v>
      </c>
      <c r="AZ29" s="250">
        <f t="shared" si="13"/>
        <v>0</v>
      </c>
      <c r="BA29" s="250">
        <f t="shared" si="14"/>
        <v>0</v>
      </c>
      <c r="BB29" s="250">
        <f t="shared" si="15"/>
        <v>0</v>
      </c>
      <c r="BC29" s="250">
        <f t="shared" si="16"/>
        <v>0</v>
      </c>
      <c r="BD29" s="250">
        <f t="shared" si="17"/>
        <v>0</v>
      </c>
      <c r="BE29" s="250">
        <f t="shared" si="18"/>
        <v>0</v>
      </c>
      <c r="BF29" s="250" t="str">
        <f t="shared" si="19"/>
        <v>ー</v>
      </c>
      <c r="BG29" s="250" t="str">
        <f t="shared" si="20"/>
        <v>ー</v>
      </c>
      <c r="BH29" s="250">
        <f t="shared" si="21"/>
        <v>0</v>
      </c>
      <c r="BI29" s="212"/>
      <c r="BK29" s="205" t="s">
        <v>68</v>
      </c>
      <c r="BL29" s="251">
        <f t="shared" si="22"/>
        <v>0</v>
      </c>
      <c r="BM29" s="251">
        <f t="shared" si="23"/>
        <v>0</v>
      </c>
      <c r="BN29" s="251">
        <f t="shared" si="24"/>
        <v>0</v>
      </c>
      <c r="BO29" s="251">
        <f t="shared" si="25"/>
        <v>0</v>
      </c>
      <c r="BP29" s="251" t="str">
        <f t="shared" si="26"/>
        <v>ー</v>
      </c>
      <c r="BQ29" s="251" t="str">
        <f t="shared" si="27"/>
        <v>ー</v>
      </c>
      <c r="BR29" s="251" t="str">
        <f t="shared" si="28"/>
        <v>ー</v>
      </c>
      <c r="BS29" s="251" t="str">
        <f t="shared" si="29"/>
        <v>ー</v>
      </c>
      <c r="BT29" s="251">
        <f t="shared" si="30"/>
        <v>0</v>
      </c>
      <c r="BU29" s="251">
        <f t="shared" si="31"/>
        <v>0</v>
      </c>
      <c r="BV29" s="251">
        <f t="shared" si="32"/>
        <v>0</v>
      </c>
      <c r="BW29" s="251">
        <f t="shared" si="33"/>
        <v>0</v>
      </c>
      <c r="BX29" s="251">
        <f t="shared" si="34"/>
        <v>0</v>
      </c>
      <c r="BY29" s="212"/>
    </row>
    <row r="30" spans="2:77" s="180" customFormat="1" ht="21.5">
      <c r="B30" s="204" t="s">
        <v>992</v>
      </c>
      <c r="C30" s="278"/>
      <c r="D30" s="279"/>
      <c r="E30" s="280"/>
      <c r="F30" s="281"/>
      <c r="H30" s="222"/>
      <c r="I30" s="221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X30" s="222"/>
      <c r="Y30" s="22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N30" s="222"/>
      <c r="AO30" s="278"/>
      <c r="AP30" s="282"/>
      <c r="AQ30" s="282"/>
      <c r="AR30" s="280"/>
      <c r="AS30" s="281"/>
      <c r="AU30" s="222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12"/>
      <c r="BK30" s="222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12"/>
    </row>
    <row r="31" spans="2:77">
      <c r="B31" s="208" t="s">
        <v>986</v>
      </c>
      <c r="H31" s="208" t="s">
        <v>912</v>
      </c>
      <c r="J31" t="s">
        <v>1064</v>
      </c>
      <c r="X31" s="208" t="s">
        <v>912</v>
      </c>
      <c r="Z31" t="s">
        <v>1064</v>
      </c>
      <c r="AN31" s="208" t="s">
        <v>933</v>
      </c>
      <c r="AS31" s="180"/>
      <c r="AU31" s="208" t="s">
        <v>912</v>
      </c>
      <c r="AW31" t="s">
        <v>1064</v>
      </c>
      <c r="BK31" s="208" t="s">
        <v>912</v>
      </c>
      <c r="BM31" t="s">
        <v>1064</v>
      </c>
    </row>
    <row r="32" spans="2:77">
      <c r="B32" s="227"/>
      <c r="C32" s="206" t="s">
        <v>936</v>
      </c>
      <c r="D32" s="206" t="s">
        <v>390</v>
      </c>
      <c r="E32" s="206" t="s">
        <v>934</v>
      </c>
      <c r="F32" s="206" t="s">
        <v>935</v>
      </c>
      <c r="H32" s="215" t="s">
        <v>916</v>
      </c>
      <c r="I32" s="206" t="s">
        <v>1063</v>
      </c>
      <c r="J32" s="201" t="s">
        <v>894</v>
      </c>
      <c r="K32" s="201" t="s">
        <v>895</v>
      </c>
      <c r="L32" s="201" t="s">
        <v>896</v>
      </c>
      <c r="M32" s="201" t="s">
        <v>897</v>
      </c>
      <c r="N32" s="201" t="s">
        <v>898</v>
      </c>
      <c r="O32" s="201" t="s">
        <v>899</v>
      </c>
      <c r="P32" s="201" t="s">
        <v>900</v>
      </c>
      <c r="Q32" s="201" t="s">
        <v>901</v>
      </c>
      <c r="R32" s="201" t="s">
        <v>902</v>
      </c>
      <c r="S32" s="201" t="s">
        <v>903</v>
      </c>
      <c r="T32" s="201" t="s">
        <v>904</v>
      </c>
      <c r="U32" s="201" t="s">
        <v>905</v>
      </c>
      <c r="V32" s="203" t="s">
        <v>915</v>
      </c>
      <c r="X32" s="216" t="s">
        <v>917</v>
      </c>
      <c r="Y32" s="206" t="s">
        <v>1065</v>
      </c>
      <c r="Z32" s="201" t="s">
        <v>894</v>
      </c>
      <c r="AA32" s="201" t="s">
        <v>895</v>
      </c>
      <c r="AB32" s="201" t="s">
        <v>896</v>
      </c>
      <c r="AC32" s="201" t="s">
        <v>897</v>
      </c>
      <c r="AD32" s="201" t="s">
        <v>898</v>
      </c>
      <c r="AE32" s="201" t="s">
        <v>899</v>
      </c>
      <c r="AF32" s="201" t="s">
        <v>900</v>
      </c>
      <c r="AG32" s="201" t="s">
        <v>901</v>
      </c>
      <c r="AH32" s="201" t="s">
        <v>902</v>
      </c>
      <c r="AI32" s="201" t="s">
        <v>903</v>
      </c>
      <c r="AJ32" s="201" t="s">
        <v>904</v>
      </c>
      <c r="AK32" s="201" t="s">
        <v>905</v>
      </c>
      <c r="AL32" s="203" t="s">
        <v>915</v>
      </c>
      <c r="AN32" s="227"/>
      <c r="AO32" s="206" t="s">
        <v>936</v>
      </c>
      <c r="AP32" s="206" t="s">
        <v>390</v>
      </c>
      <c r="AQ32" s="206" t="s">
        <v>934</v>
      </c>
      <c r="AR32" s="206" t="s">
        <v>935</v>
      </c>
      <c r="AS32" s="221"/>
      <c r="AU32" s="215" t="s">
        <v>925</v>
      </c>
      <c r="AV32" s="206" t="s">
        <v>1065</v>
      </c>
      <c r="AW32" s="218" t="s">
        <v>894</v>
      </c>
      <c r="AX32" s="218" t="s">
        <v>895</v>
      </c>
      <c r="AY32" s="218" t="s">
        <v>896</v>
      </c>
      <c r="AZ32" s="218" t="s">
        <v>897</v>
      </c>
      <c r="BA32" s="218" t="s">
        <v>898</v>
      </c>
      <c r="BB32" s="218" t="s">
        <v>899</v>
      </c>
      <c r="BC32" s="218" t="s">
        <v>900</v>
      </c>
      <c r="BD32" s="218" t="s">
        <v>901</v>
      </c>
      <c r="BE32" s="218" t="s">
        <v>902</v>
      </c>
      <c r="BF32" s="218" t="s">
        <v>903</v>
      </c>
      <c r="BG32" s="218" t="s">
        <v>904</v>
      </c>
      <c r="BH32" s="218" t="s">
        <v>905</v>
      </c>
      <c r="BI32" s="218" t="s">
        <v>16</v>
      </c>
      <c r="BK32" s="216" t="s">
        <v>926</v>
      </c>
      <c r="BL32" s="206" t="s">
        <v>1065</v>
      </c>
      <c r="BM32" s="218" t="s">
        <v>894</v>
      </c>
      <c r="BN32" s="218" t="s">
        <v>895</v>
      </c>
      <c r="BO32" s="218" t="s">
        <v>896</v>
      </c>
      <c r="BP32" s="218" t="s">
        <v>897</v>
      </c>
      <c r="BQ32" s="218" t="s">
        <v>898</v>
      </c>
      <c r="BR32" s="218" t="s">
        <v>899</v>
      </c>
      <c r="BS32" s="218" t="s">
        <v>900</v>
      </c>
      <c r="BT32" s="218" t="s">
        <v>901</v>
      </c>
      <c r="BU32" s="218" t="s">
        <v>902</v>
      </c>
      <c r="BV32" s="218" t="s">
        <v>903</v>
      </c>
      <c r="BW32" s="218" t="s">
        <v>904</v>
      </c>
      <c r="BX32" s="218" t="s">
        <v>905</v>
      </c>
      <c r="BY32" s="218" t="s">
        <v>16</v>
      </c>
    </row>
    <row r="33" spans="2:77">
      <c r="B33" s="205" t="s">
        <v>49</v>
      </c>
      <c r="C33" s="251">
        <f>VLOOKUP("電気",係数!$B$3:$C$30,2,FALSE)</f>
        <v>8.64</v>
      </c>
      <c r="D33" s="276">
        <f>VLOOKUP("電気",係数!$B$3:$H$30,7,FALSE)</f>
        <v>4.3100000000000001E-4</v>
      </c>
      <c r="E33" s="270">
        <f>(V33+AL33)*D33</f>
        <v>0</v>
      </c>
      <c r="F33" s="270">
        <f t="shared" ref="F33:F52" si="46">(V33+AL33)*C33*0.0000258</f>
        <v>0</v>
      </c>
      <c r="H33" s="205" t="s">
        <v>49</v>
      </c>
      <c r="I33" s="251">
        <f>空調!D22*空調!J22*空調!L22</f>
        <v>0</v>
      </c>
      <c r="J33" s="252">
        <f>IFERROR(IF($C10="事務所",$I33*$D10*J10*J$4,$I33*$D10*J10*J$5),"ー")</f>
        <v>0</v>
      </c>
      <c r="K33" s="252">
        <f t="shared" ref="K33:U33" si="47">IFERROR(IF($C10="事務所",$I33*$D10*K10*K$4,$I33*$D10*K10*K$5),"ー")</f>
        <v>0</v>
      </c>
      <c r="L33" s="252">
        <f t="shared" si="47"/>
        <v>0</v>
      </c>
      <c r="M33" s="252">
        <f t="shared" si="47"/>
        <v>0</v>
      </c>
      <c r="N33" s="252">
        <f>IFERROR(IF($C10="事務所",$I33*$D10*N10*N$4,$I33*$D10*N10*N$5),"ー")</f>
        <v>0</v>
      </c>
      <c r="O33" s="252">
        <f t="shared" si="47"/>
        <v>0</v>
      </c>
      <c r="P33" s="252">
        <f t="shared" si="47"/>
        <v>0</v>
      </c>
      <c r="Q33" s="252">
        <f t="shared" si="47"/>
        <v>0</v>
      </c>
      <c r="R33" s="252">
        <f>IFERROR(IF($C10="事務所",$I33*$D10*R10*R$4,$I33*$D10*R10*R$5),"ー")</f>
        <v>0</v>
      </c>
      <c r="S33" s="252" t="str">
        <f>IFERROR(IF($C10="事務所",$I33*$D10*S10*S$4,$I33*$D10*S10*S$5),"ー")</f>
        <v>ー</v>
      </c>
      <c r="T33" s="252" t="str">
        <f t="shared" si="47"/>
        <v>ー</v>
      </c>
      <c r="U33" s="252">
        <f t="shared" si="47"/>
        <v>0</v>
      </c>
      <c r="V33" s="252">
        <f>SUM(J33:U33)</f>
        <v>0</v>
      </c>
      <c r="X33" s="205" t="s">
        <v>49</v>
      </c>
      <c r="Y33" s="251">
        <f>空調!D22*空調!O22*空調!Q22</f>
        <v>0</v>
      </c>
      <c r="Z33" s="252">
        <f>IFERROR(IF($C10="事務所",$Y33*$D10*Z10*Z$4,$Y33*$D10*Z10*Z$5),"ー")</f>
        <v>0</v>
      </c>
      <c r="AA33" s="252">
        <f t="shared" ref="AA33:AK33" si="48">IFERROR(IF($C10="事務所",$Y33*$D10*AA10*AA$4,$Y33*$D10*AA10*AA$5),"ー")</f>
        <v>0</v>
      </c>
      <c r="AB33" s="252">
        <f t="shared" si="48"/>
        <v>0</v>
      </c>
      <c r="AC33" s="252" t="str">
        <f t="shared" si="48"/>
        <v>ー</v>
      </c>
      <c r="AD33" s="252" t="str">
        <f t="shared" si="48"/>
        <v>ー</v>
      </c>
      <c r="AE33" s="252" t="str">
        <f t="shared" si="48"/>
        <v>ー</v>
      </c>
      <c r="AF33" s="252" t="str">
        <f t="shared" si="48"/>
        <v>ー</v>
      </c>
      <c r="AG33" s="252">
        <f t="shared" si="48"/>
        <v>0</v>
      </c>
      <c r="AH33" s="252">
        <f t="shared" si="48"/>
        <v>0</v>
      </c>
      <c r="AI33" s="252">
        <f t="shared" si="48"/>
        <v>0</v>
      </c>
      <c r="AJ33" s="252">
        <f t="shared" si="48"/>
        <v>0</v>
      </c>
      <c r="AK33" s="252">
        <f t="shared" si="48"/>
        <v>0</v>
      </c>
      <c r="AL33" s="252">
        <f>SUM(Z33:AK33)</f>
        <v>0</v>
      </c>
      <c r="AN33" s="205" t="s">
        <v>49</v>
      </c>
      <c r="AO33" s="251">
        <f>VLOOKUP("電気",係数!$B$3:$C$30,2,FALSE)</f>
        <v>8.64</v>
      </c>
      <c r="AP33" s="256">
        <f>VLOOKUP("電気",係数!$B$3:$H$30,7,FALSE)</f>
        <v>4.3100000000000001E-4</v>
      </c>
      <c r="AQ33" s="270">
        <f>(BI33+BY33)*AP33</f>
        <v>0</v>
      </c>
      <c r="AR33" s="270">
        <f t="shared" ref="AR33:AR52" si="49">(BI33+BY33)*AO33*0.0000258</f>
        <v>0</v>
      </c>
      <c r="AS33" s="277"/>
      <c r="AU33" s="205" t="s">
        <v>49</v>
      </c>
      <c r="AV33" s="251">
        <f>空調!X22*空調!AC22*空調!L22</f>
        <v>0</v>
      </c>
      <c r="AW33" s="252">
        <f>IF(AND($AP10&lt;&gt;0,$AQ10&lt;&gt;0),IFERROR(J33*($AP10/$AQ10),"ー"),IFERROR(IF($C10="事務所",$AV33*AW10*AW$4,$AV33*AW10*AW$5),"ー"))</f>
        <v>0</v>
      </c>
      <c r="AX33" s="252">
        <f t="shared" ref="AX33:BH33" si="50">IF(AND($AP10&lt;&gt;0,$AQ10&lt;&gt;0),IFERROR(K33*($AP10/$AQ10),"ー"),IFERROR(IF($C10="事務所",$AV33*AX10*AX$4,$AV33*AX10*AX$5),"ー"))</f>
        <v>0</v>
      </c>
      <c r="AY33" s="252">
        <f t="shared" si="50"/>
        <v>0</v>
      </c>
      <c r="AZ33" s="252">
        <f t="shared" si="50"/>
        <v>0</v>
      </c>
      <c r="BA33" s="252">
        <f t="shared" si="50"/>
        <v>0</v>
      </c>
      <c r="BB33" s="252">
        <f t="shared" si="50"/>
        <v>0</v>
      </c>
      <c r="BC33" s="252">
        <f t="shared" si="50"/>
        <v>0</v>
      </c>
      <c r="BD33" s="252">
        <f t="shared" si="50"/>
        <v>0</v>
      </c>
      <c r="BE33" s="252">
        <f t="shared" si="50"/>
        <v>0</v>
      </c>
      <c r="BF33" s="252" t="str">
        <f t="shared" si="50"/>
        <v>ー</v>
      </c>
      <c r="BG33" s="252" t="str">
        <f t="shared" si="50"/>
        <v>ー</v>
      </c>
      <c r="BH33" s="252">
        <f t="shared" si="50"/>
        <v>0</v>
      </c>
      <c r="BI33" s="252">
        <f>SUM(AW33:BH33)</f>
        <v>0</v>
      </c>
      <c r="BK33" s="205" t="s">
        <v>49</v>
      </c>
      <c r="BL33" s="251">
        <f>空調!X22*空調!AF22*空調!Q22</f>
        <v>0</v>
      </c>
      <c r="BM33" s="252">
        <f>IF(AND($AP10&lt;&gt;0,$AQ10&lt;&gt;0),IFERROR(Z33*($AP10/$AQ10),"ー"),IFERROR(IF($C10="事務所",$BL33*BM10*BM$4,$BL33*BM10*BM$5),"ー"))</f>
        <v>0</v>
      </c>
      <c r="BN33" s="252">
        <f t="shared" ref="BN33:BX33" si="51">IF(AND($AP10&lt;&gt;0,$AQ10&lt;&gt;0),IFERROR(AA33*($AP10/$AQ10),"ー"),IFERROR(IF($C10="事務所",$BL33*BN10*BN$4,$BL33*BN10*BN$5),"ー"))</f>
        <v>0</v>
      </c>
      <c r="BO33" s="252">
        <f t="shared" si="51"/>
        <v>0</v>
      </c>
      <c r="BP33" s="252" t="str">
        <f t="shared" si="51"/>
        <v>ー</v>
      </c>
      <c r="BQ33" s="252" t="str">
        <f t="shared" si="51"/>
        <v>ー</v>
      </c>
      <c r="BR33" s="252" t="str">
        <f t="shared" si="51"/>
        <v>ー</v>
      </c>
      <c r="BS33" s="252" t="str">
        <f t="shared" si="51"/>
        <v>ー</v>
      </c>
      <c r="BT33" s="252">
        <f t="shared" si="51"/>
        <v>0</v>
      </c>
      <c r="BU33" s="252">
        <f t="shared" si="51"/>
        <v>0</v>
      </c>
      <c r="BV33" s="252">
        <f t="shared" si="51"/>
        <v>0</v>
      </c>
      <c r="BW33" s="252">
        <f t="shared" si="51"/>
        <v>0</v>
      </c>
      <c r="BX33" s="252">
        <f t="shared" si="51"/>
        <v>0</v>
      </c>
      <c r="BY33" s="252">
        <f>SUM(BM33:BX33)</f>
        <v>0</v>
      </c>
    </row>
    <row r="34" spans="2:77">
      <c r="B34" s="205" t="s">
        <v>50</v>
      </c>
      <c r="C34" s="251">
        <f>VLOOKUP("電気",係数!$B$3:$C$30,2,FALSE)</f>
        <v>8.64</v>
      </c>
      <c r="D34" s="276">
        <f>VLOOKUP("電気",係数!$B$3:$H$30,7,FALSE)</f>
        <v>4.3100000000000001E-4</v>
      </c>
      <c r="E34" s="270">
        <f t="shared" ref="E34:E52" si="52">(V34+AL34)*D34</f>
        <v>0</v>
      </c>
      <c r="F34" s="270">
        <f t="shared" si="46"/>
        <v>0</v>
      </c>
      <c r="H34" s="205" t="s">
        <v>50</v>
      </c>
      <c r="I34" s="251">
        <f>空調!D23*空調!J23*空調!L23</f>
        <v>0</v>
      </c>
      <c r="J34" s="252">
        <f t="shared" ref="J34:U34" si="53">IFERROR(IF($C11="事務所",$I34*$D11*J11*J$4,$I34*$D11*J11*J$5),"ー")</f>
        <v>0</v>
      </c>
      <c r="K34" s="252">
        <f t="shared" si="53"/>
        <v>0</v>
      </c>
      <c r="L34" s="252">
        <f t="shared" si="53"/>
        <v>0</v>
      </c>
      <c r="M34" s="252">
        <f t="shared" si="53"/>
        <v>0</v>
      </c>
      <c r="N34" s="252">
        <f t="shared" si="53"/>
        <v>0</v>
      </c>
      <c r="O34" s="252">
        <f t="shared" si="53"/>
        <v>0</v>
      </c>
      <c r="P34" s="252">
        <f t="shared" si="53"/>
        <v>0</v>
      </c>
      <c r="Q34" s="252">
        <f t="shared" si="53"/>
        <v>0</v>
      </c>
      <c r="R34" s="252">
        <f t="shared" si="53"/>
        <v>0</v>
      </c>
      <c r="S34" s="252" t="str">
        <f t="shared" si="53"/>
        <v>ー</v>
      </c>
      <c r="T34" s="252" t="str">
        <f t="shared" si="53"/>
        <v>ー</v>
      </c>
      <c r="U34" s="252">
        <f t="shared" si="53"/>
        <v>0</v>
      </c>
      <c r="V34" s="252">
        <f t="shared" ref="V34:V52" si="54">SUM(J34:U34)</f>
        <v>0</v>
      </c>
      <c r="X34" s="205" t="s">
        <v>50</v>
      </c>
      <c r="Y34" s="251">
        <f>空調!D23*空調!O23*空調!Q23</f>
        <v>0</v>
      </c>
      <c r="Z34" s="252">
        <f t="shared" ref="Z34:AK34" si="55">IFERROR(IF($C11="事務所",$Y34*$D11*Z11*Z$4,$Y34*$D11*Z11*Z$5),"ー")</f>
        <v>0</v>
      </c>
      <c r="AA34" s="252">
        <f t="shared" si="55"/>
        <v>0</v>
      </c>
      <c r="AB34" s="252">
        <f t="shared" si="55"/>
        <v>0</v>
      </c>
      <c r="AC34" s="252" t="str">
        <f t="shared" si="55"/>
        <v>ー</v>
      </c>
      <c r="AD34" s="252" t="str">
        <f t="shared" si="55"/>
        <v>ー</v>
      </c>
      <c r="AE34" s="252" t="str">
        <f t="shared" si="55"/>
        <v>ー</v>
      </c>
      <c r="AF34" s="252" t="str">
        <f t="shared" si="55"/>
        <v>ー</v>
      </c>
      <c r="AG34" s="252">
        <f t="shared" si="55"/>
        <v>0</v>
      </c>
      <c r="AH34" s="252">
        <f t="shared" si="55"/>
        <v>0</v>
      </c>
      <c r="AI34" s="252">
        <f t="shared" si="55"/>
        <v>0</v>
      </c>
      <c r="AJ34" s="252">
        <f t="shared" si="55"/>
        <v>0</v>
      </c>
      <c r="AK34" s="252">
        <f t="shared" si="55"/>
        <v>0</v>
      </c>
      <c r="AL34" s="252">
        <f t="shared" ref="AL34:AL52" si="56">SUM(Z34:AK34)</f>
        <v>0</v>
      </c>
      <c r="AN34" s="205" t="s">
        <v>50</v>
      </c>
      <c r="AO34" s="251">
        <f>VLOOKUP("電気",係数!$B$3:$C$30,2,FALSE)</f>
        <v>8.64</v>
      </c>
      <c r="AP34" s="256">
        <f>VLOOKUP("電気",係数!$B$3:$H$30,7,FALSE)</f>
        <v>4.3100000000000001E-4</v>
      </c>
      <c r="AQ34" s="270">
        <f t="shared" ref="AQ34:AQ52" si="57">(BI34+BY34)*AP34</f>
        <v>0</v>
      </c>
      <c r="AR34" s="270">
        <f t="shared" si="49"/>
        <v>0</v>
      </c>
      <c r="AS34" s="277"/>
      <c r="AU34" s="205" t="s">
        <v>50</v>
      </c>
      <c r="AV34" s="251">
        <f>空調!X23*空調!AC23*空調!L23</f>
        <v>0</v>
      </c>
      <c r="AW34" s="252">
        <f t="shared" ref="AW34:AW39" si="58">IF(AND($AP11&lt;&gt;0,$AQ11&lt;&gt;0),IFERROR(J34*($AP11/$AQ11),"ー"),IFERROR(IF($C11="事務所",$AV34*AW11*AW$4,$AV34*AW11*AW$5),"ー"))</f>
        <v>0</v>
      </c>
      <c r="AX34" s="252">
        <f t="shared" ref="AX34:AX52" si="59">IF(AND($AP11&lt;&gt;0,$AQ11&lt;&gt;0),IFERROR(K34*($AP11/$AQ11),"ー"),IFERROR(IF($C11="事務所",$AV34*AX11*AX$4,$AV34*AX11*AX$5),"ー"))</f>
        <v>0</v>
      </c>
      <c r="AY34" s="252">
        <f t="shared" ref="AY34:AY52" si="60">IF(AND($AP11&lt;&gt;0,$AQ11&lt;&gt;0),IFERROR(L34*($AP11/$AQ11),"ー"),IFERROR(IF($C11="事務所",$AV34*AY11*AY$4,$AV34*AY11*AY$5),"ー"))</f>
        <v>0</v>
      </c>
      <c r="AZ34" s="252">
        <f t="shared" ref="AZ34:AZ52" si="61">IF(AND($AP11&lt;&gt;0,$AQ11&lt;&gt;0),IFERROR(M34*($AP11/$AQ11),"ー"),IFERROR(IF($C11="事務所",$AV34*AZ11*AZ$4,$AV34*AZ11*AZ$5),"ー"))</f>
        <v>0</v>
      </c>
      <c r="BA34" s="252">
        <f t="shared" ref="BA34:BA52" si="62">IF(AND($AP11&lt;&gt;0,$AQ11&lt;&gt;0),IFERROR(N34*($AP11/$AQ11),"ー"),IFERROR(IF($C11="事務所",$AV34*BA11*BA$4,$AV34*BA11*BA$5),"ー"))</f>
        <v>0</v>
      </c>
      <c r="BB34" s="252">
        <f t="shared" ref="BB34:BB52" si="63">IF(AND($AP11&lt;&gt;0,$AQ11&lt;&gt;0),IFERROR(O34*($AP11/$AQ11),"ー"),IFERROR(IF($C11="事務所",$AV34*BB11*BB$4,$AV34*BB11*BB$5),"ー"))</f>
        <v>0</v>
      </c>
      <c r="BC34" s="252">
        <f t="shared" ref="BC34:BC52" si="64">IF(AND($AP11&lt;&gt;0,$AQ11&lt;&gt;0),IFERROR(P34*($AP11/$AQ11),"ー"),IFERROR(IF($C11="事務所",$AV34*BC11*BC$4,$AV34*BC11*BC$5),"ー"))</f>
        <v>0</v>
      </c>
      <c r="BD34" s="252">
        <f t="shared" ref="BD34:BD52" si="65">IF(AND($AP11&lt;&gt;0,$AQ11&lt;&gt;0),IFERROR(Q34*($AP11/$AQ11),"ー"),IFERROR(IF($C11="事務所",$AV34*BD11*BD$4,$AV34*BD11*BD$5),"ー"))</f>
        <v>0</v>
      </c>
      <c r="BE34" s="252">
        <f t="shared" ref="BE34:BE52" si="66">IF(AND($AP11&lt;&gt;0,$AQ11&lt;&gt;0),IFERROR(R34*($AP11/$AQ11),"ー"),IFERROR(IF($C11="事務所",$AV34*BE11*BE$4,$AV34*BE11*BE$5),"ー"))</f>
        <v>0</v>
      </c>
      <c r="BF34" s="252" t="str">
        <f t="shared" ref="BF34:BF52" si="67">IF(AND($AP11&lt;&gt;0,$AQ11&lt;&gt;0),IFERROR(S34*($AP11/$AQ11),"ー"),IFERROR(IF($C11="事務所",$AV34*BF11*BF$4,$AV34*BF11*BF$5),"ー"))</f>
        <v>ー</v>
      </c>
      <c r="BG34" s="252" t="str">
        <f t="shared" ref="BG34:BG52" si="68">IF(AND($AP11&lt;&gt;0,$AQ11&lt;&gt;0),IFERROR(T34*($AP11/$AQ11),"ー"),IFERROR(IF($C11="事務所",$AV34*BG11*BG$4,$AV34*BG11*BG$5),"ー"))</f>
        <v>ー</v>
      </c>
      <c r="BH34" s="252">
        <f t="shared" ref="BH34:BH52" si="69">IF(AND($AP11&lt;&gt;0,$AQ11&lt;&gt;0),IFERROR(U34*($AP11/$AQ11),"ー"),IFERROR(IF($C11="事務所",$AV34*BH11*BH$4,$AV34*BH11*BH$5),"ー"))</f>
        <v>0</v>
      </c>
      <c r="BI34" s="252">
        <f t="shared" ref="BI34:BI52" si="70">SUM(AW34:BH34)</f>
        <v>0</v>
      </c>
      <c r="BK34" s="205" t="s">
        <v>50</v>
      </c>
      <c r="BL34" s="251">
        <f>空調!X23*空調!AF23*空調!Q23</f>
        <v>0</v>
      </c>
      <c r="BM34" s="252">
        <f t="shared" ref="BM34:BM52" si="71">IF(AND($AP11&lt;&gt;0,$AQ11&lt;&gt;0),IFERROR(Z34*($AP11/$AQ11),"ー"),IFERROR(IF($C11="事務所",$BL34*BM11*BM$4,$BL34*BM11*BM$5),"ー"))</f>
        <v>0</v>
      </c>
      <c r="BN34" s="252">
        <f t="shared" ref="BN34:BN52" si="72">IF(AND($AP11&lt;&gt;0,$AQ11&lt;&gt;0),IFERROR(AA34*($AP11/$AQ11),"ー"),IFERROR(IF($C11="事務所",$BL34*BN11*BN$4,$BL34*BN11*BN$5),"ー"))</f>
        <v>0</v>
      </c>
      <c r="BO34" s="252">
        <f t="shared" ref="BO34:BO52" si="73">IF(AND($AP11&lt;&gt;0,$AQ11&lt;&gt;0),IFERROR(AB34*($AP11/$AQ11),"ー"),IFERROR(IF($C11="事務所",$BL34*BO11*BO$4,$BL34*BO11*BO$5),"ー"))</f>
        <v>0</v>
      </c>
      <c r="BP34" s="252" t="str">
        <f t="shared" ref="BP34:BP52" si="74">IF(AND($AP11&lt;&gt;0,$AQ11&lt;&gt;0),IFERROR(AC34*($AP11/$AQ11),"ー"),IFERROR(IF($C11="事務所",$BL34*BP11*BP$4,$BL34*BP11*BP$5),"ー"))</f>
        <v>ー</v>
      </c>
      <c r="BQ34" s="252" t="str">
        <f t="shared" ref="BQ34:BQ52" si="75">IF(AND($AP11&lt;&gt;0,$AQ11&lt;&gt;0),IFERROR(AD34*($AP11/$AQ11),"ー"),IFERROR(IF($C11="事務所",$BL34*BQ11*BQ$4,$BL34*BQ11*BQ$5),"ー"))</f>
        <v>ー</v>
      </c>
      <c r="BR34" s="252" t="str">
        <f t="shared" ref="BR34:BR52" si="76">IF(AND($AP11&lt;&gt;0,$AQ11&lt;&gt;0),IFERROR(AE34*($AP11/$AQ11),"ー"),IFERROR(IF($C11="事務所",$BL34*BR11*BR$4,$BL34*BR11*BR$5),"ー"))</f>
        <v>ー</v>
      </c>
      <c r="BS34" s="252" t="str">
        <f t="shared" ref="BS34:BS52" si="77">IF(AND($AP11&lt;&gt;0,$AQ11&lt;&gt;0),IFERROR(AF34*($AP11/$AQ11),"ー"),IFERROR(IF($C11="事務所",$BL34*BS11*BS$4,$BL34*BS11*BS$5),"ー"))</f>
        <v>ー</v>
      </c>
      <c r="BT34" s="252">
        <f t="shared" ref="BT34:BT52" si="78">IF(AND($AP11&lt;&gt;0,$AQ11&lt;&gt;0),IFERROR(AG34*($AP11/$AQ11),"ー"),IFERROR(IF($C11="事務所",$BL34*BT11*BT$4,$BL34*BT11*BT$5),"ー"))</f>
        <v>0</v>
      </c>
      <c r="BU34" s="252">
        <f t="shared" ref="BU34:BU52" si="79">IF(AND($AP11&lt;&gt;0,$AQ11&lt;&gt;0),IFERROR(AH34*($AP11/$AQ11),"ー"),IFERROR(IF($C11="事務所",$BL34*BU11*BU$4,$BL34*BU11*BU$5),"ー"))</f>
        <v>0</v>
      </c>
      <c r="BV34" s="252">
        <f t="shared" ref="BV34:BV52" si="80">IF(AND($AP11&lt;&gt;0,$AQ11&lt;&gt;0),IFERROR(AI34*($AP11/$AQ11),"ー"),IFERROR(IF($C11="事務所",$BL34*BV11*BV$4,$BL34*BV11*BV$5),"ー"))</f>
        <v>0</v>
      </c>
      <c r="BW34" s="252">
        <f t="shared" ref="BW34:BW52" si="81">IF(AND($AP11&lt;&gt;0,$AQ11&lt;&gt;0),IFERROR(AJ34*($AP11/$AQ11),"ー"),IFERROR(IF($C11="事務所",$BL34*BW11*BW$4,$BL34*BW11*BW$5),"ー"))</f>
        <v>0</v>
      </c>
      <c r="BX34" s="252">
        <f t="shared" ref="BX34:BX52" si="82">IF(AND($AP11&lt;&gt;0,$AQ11&lt;&gt;0),IFERROR(AK34*($AP11/$AQ11),"ー"),IFERROR(IF($C11="事務所",$BL34*BX11*BX$4,$BL34*BX11*BX$5),"ー"))</f>
        <v>0</v>
      </c>
      <c r="BY34" s="252">
        <f t="shared" ref="BY34:BY52" si="83">SUM(BM34:BX34)</f>
        <v>0</v>
      </c>
    </row>
    <row r="35" spans="2:77">
      <c r="B35" s="205" t="s">
        <v>51</v>
      </c>
      <c r="C35" s="251">
        <f>VLOOKUP("電気",係数!$B$3:$C$30,2,FALSE)</f>
        <v>8.64</v>
      </c>
      <c r="D35" s="276">
        <f>VLOOKUP("電気",係数!$B$3:$H$30,7,FALSE)</f>
        <v>4.3100000000000001E-4</v>
      </c>
      <c r="E35" s="270">
        <f t="shared" si="52"/>
        <v>0</v>
      </c>
      <c r="F35" s="270">
        <f t="shared" si="46"/>
        <v>0</v>
      </c>
      <c r="H35" s="205" t="s">
        <v>51</v>
      </c>
      <c r="I35" s="251">
        <f>空調!D24*空調!J24*空調!L24</f>
        <v>0</v>
      </c>
      <c r="J35" s="252">
        <f t="shared" ref="J35:U35" si="84">IFERROR(IF($C12="事務所",$I35*$D12*J12*J$4,$I35*$D12*J12*J$5),"ー")</f>
        <v>0</v>
      </c>
      <c r="K35" s="252">
        <f t="shared" si="84"/>
        <v>0</v>
      </c>
      <c r="L35" s="252">
        <f t="shared" si="84"/>
        <v>0</v>
      </c>
      <c r="M35" s="252">
        <f t="shared" si="84"/>
        <v>0</v>
      </c>
      <c r="N35" s="252">
        <f t="shared" si="84"/>
        <v>0</v>
      </c>
      <c r="O35" s="252">
        <f t="shared" si="84"/>
        <v>0</v>
      </c>
      <c r="P35" s="252">
        <f t="shared" si="84"/>
        <v>0</v>
      </c>
      <c r="Q35" s="252">
        <f t="shared" si="84"/>
        <v>0</v>
      </c>
      <c r="R35" s="252">
        <f t="shared" si="84"/>
        <v>0</v>
      </c>
      <c r="S35" s="252" t="str">
        <f t="shared" si="84"/>
        <v>ー</v>
      </c>
      <c r="T35" s="252" t="str">
        <f t="shared" si="84"/>
        <v>ー</v>
      </c>
      <c r="U35" s="252">
        <f t="shared" si="84"/>
        <v>0</v>
      </c>
      <c r="V35" s="252">
        <f t="shared" si="54"/>
        <v>0</v>
      </c>
      <c r="X35" s="205" t="s">
        <v>51</v>
      </c>
      <c r="Y35" s="251">
        <f>空調!D24*空調!O24*空調!Q24</f>
        <v>0</v>
      </c>
      <c r="Z35" s="252">
        <f t="shared" ref="Z35:AK35" si="85">IFERROR(IF($C12="事務所",$Y35*$D12*Z12*Z$4,$Y35*$D12*Z12*Z$5),"ー")</f>
        <v>0</v>
      </c>
      <c r="AA35" s="252">
        <f t="shared" si="85"/>
        <v>0</v>
      </c>
      <c r="AB35" s="252">
        <f t="shared" si="85"/>
        <v>0</v>
      </c>
      <c r="AC35" s="252" t="str">
        <f t="shared" si="85"/>
        <v>ー</v>
      </c>
      <c r="AD35" s="252" t="str">
        <f t="shared" si="85"/>
        <v>ー</v>
      </c>
      <c r="AE35" s="252" t="str">
        <f t="shared" si="85"/>
        <v>ー</v>
      </c>
      <c r="AF35" s="252" t="str">
        <f t="shared" si="85"/>
        <v>ー</v>
      </c>
      <c r="AG35" s="252">
        <f t="shared" si="85"/>
        <v>0</v>
      </c>
      <c r="AH35" s="252">
        <f t="shared" si="85"/>
        <v>0</v>
      </c>
      <c r="AI35" s="252">
        <f t="shared" si="85"/>
        <v>0</v>
      </c>
      <c r="AJ35" s="252">
        <f t="shared" si="85"/>
        <v>0</v>
      </c>
      <c r="AK35" s="252">
        <f t="shared" si="85"/>
        <v>0</v>
      </c>
      <c r="AL35" s="252">
        <f t="shared" si="56"/>
        <v>0</v>
      </c>
      <c r="AN35" s="205" t="s">
        <v>51</v>
      </c>
      <c r="AO35" s="251">
        <f>VLOOKUP("電気",係数!$B$3:$C$30,2,FALSE)</f>
        <v>8.64</v>
      </c>
      <c r="AP35" s="256">
        <f>VLOOKUP("電気",係数!$B$3:$H$30,7,FALSE)</f>
        <v>4.3100000000000001E-4</v>
      </c>
      <c r="AQ35" s="270">
        <f t="shared" si="57"/>
        <v>0</v>
      </c>
      <c r="AR35" s="270">
        <f t="shared" si="49"/>
        <v>0</v>
      </c>
      <c r="AS35" s="277"/>
      <c r="AU35" s="205" t="s">
        <v>51</v>
      </c>
      <c r="AV35" s="251">
        <f>空調!X24*空調!AC24*空調!L24</f>
        <v>0</v>
      </c>
      <c r="AW35" s="252">
        <f t="shared" si="58"/>
        <v>0</v>
      </c>
      <c r="AX35" s="252">
        <f t="shared" si="59"/>
        <v>0</v>
      </c>
      <c r="AY35" s="252">
        <f t="shared" si="60"/>
        <v>0</v>
      </c>
      <c r="AZ35" s="252">
        <f t="shared" si="61"/>
        <v>0</v>
      </c>
      <c r="BA35" s="252">
        <f t="shared" si="62"/>
        <v>0</v>
      </c>
      <c r="BB35" s="252">
        <f t="shared" si="63"/>
        <v>0</v>
      </c>
      <c r="BC35" s="252">
        <f t="shared" si="64"/>
        <v>0</v>
      </c>
      <c r="BD35" s="252">
        <f t="shared" si="65"/>
        <v>0</v>
      </c>
      <c r="BE35" s="252">
        <f t="shared" si="66"/>
        <v>0</v>
      </c>
      <c r="BF35" s="252" t="str">
        <f t="shared" si="67"/>
        <v>ー</v>
      </c>
      <c r="BG35" s="252" t="str">
        <f t="shared" si="68"/>
        <v>ー</v>
      </c>
      <c r="BH35" s="252">
        <f t="shared" si="69"/>
        <v>0</v>
      </c>
      <c r="BI35" s="252">
        <f t="shared" si="70"/>
        <v>0</v>
      </c>
      <c r="BK35" s="205" t="s">
        <v>51</v>
      </c>
      <c r="BL35" s="251">
        <f>空調!X24*空調!AF24*空調!Q24</f>
        <v>0</v>
      </c>
      <c r="BM35" s="252">
        <f t="shared" si="71"/>
        <v>0</v>
      </c>
      <c r="BN35" s="252">
        <f t="shared" si="72"/>
        <v>0</v>
      </c>
      <c r="BO35" s="252">
        <f t="shared" si="73"/>
        <v>0</v>
      </c>
      <c r="BP35" s="252" t="str">
        <f t="shared" si="74"/>
        <v>ー</v>
      </c>
      <c r="BQ35" s="252" t="str">
        <f t="shared" si="75"/>
        <v>ー</v>
      </c>
      <c r="BR35" s="252" t="str">
        <f t="shared" si="76"/>
        <v>ー</v>
      </c>
      <c r="BS35" s="252" t="str">
        <f t="shared" si="77"/>
        <v>ー</v>
      </c>
      <c r="BT35" s="252">
        <f t="shared" si="78"/>
        <v>0</v>
      </c>
      <c r="BU35" s="252">
        <f t="shared" si="79"/>
        <v>0</v>
      </c>
      <c r="BV35" s="252">
        <f t="shared" si="80"/>
        <v>0</v>
      </c>
      <c r="BW35" s="252">
        <f t="shared" si="81"/>
        <v>0</v>
      </c>
      <c r="BX35" s="252">
        <f t="shared" si="82"/>
        <v>0</v>
      </c>
      <c r="BY35" s="252">
        <f t="shared" si="83"/>
        <v>0</v>
      </c>
    </row>
    <row r="36" spans="2:77">
      <c r="B36" s="205" t="s">
        <v>52</v>
      </c>
      <c r="C36" s="251">
        <f>VLOOKUP("電気",係数!$B$3:$C$30,2,FALSE)</f>
        <v>8.64</v>
      </c>
      <c r="D36" s="276">
        <f>VLOOKUP("電気",係数!$B$3:$H$30,7,FALSE)</f>
        <v>4.3100000000000001E-4</v>
      </c>
      <c r="E36" s="270">
        <f t="shared" si="52"/>
        <v>0</v>
      </c>
      <c r="F36" s="270">
        <f t="shared" si="46"/>
        <v>0</v>
      </c>
      <c r="H36" s="205" t="s">
        <v>52</v>
      </c>
      <c r="I36" s="251">
        <f>空調!D25*空調!J25*空調!L25</f>
        <v>0</v>
      </c>
      <c r="J36" s="252">
        <f t="shared" ref="J36:U36" si="86">IFERROR(IF($C13="事務所",$I36*$D13*J13*J$4,$I36*$D13*J13*J$5),"ー")</f>
        <v>0</v>
      </c>
      <c r="K36" s="252">
        <f t="shared" si="86"/>
        <v>0</v>
      </c>
      <c r="L36" s="252">
        <f t="shared" si="86"/>
        <v>0</v>
      </c>
      <c r="M36" s="252">
        <f t="shared" si="86"/>
        <v>0</v>
      </c>
      <c r="N36" s="252">
        <f t="shared" si="86"/>
        <v>0</v>
      </c>
      <c r="O36" s="252">
        <f t="shared" si="86"/>
        <v>0</v>
      </c>
      <c r="P36" s="252">
        <f t="shared" si="86"/>
        <v>0</v>
      </c>
      <c r="Q36" s="252">
        <f t="shared" si="86"/>
        <v>0</v>
      </c>
      <c r="R36" s="252">
        <f t="shared" si="86"/>
        <v>0</v>
      </c>
      <c r="S36" s="252" t="str">
        <f t="shared" si="86"/>
        <v>ー</v>
      </c>
      <c r="T36" s="252" t="str">
        <f t="shared" si="86"/>
        <v>ー</v>
      </c>
      <c r="U36" s="252">
        <f t="shared" si="86"/>
        <v>0</v>
      </c>
      <c r="V36" s="252">
        <f t="shared" si="54"/>
        <v>0</v>
      </c>
      <c r="X36" s="205" t="s">
        <v>52</v>
      </c>
      <c r="Y36" s="251">
        <f>空調!D25*空調!O25*空調!Q25</f>
        <v>0</v>
      </c>
      <c r="Z36" s="252">
        <f t="shared" ref="Z36:AK36" si="87">IFERROR(IF($C13="事務所",$Y36*$D13*Z13*Z$4,$Y36*$D13*Z13*Z$5),"ー")</f>
        <v>0</v>
      </c>
      <c r="AA36" s="252">
        <f t="shared" si="87"/>
        <v>0</v>
      </c>
      <c r="AB36" s="252">
        <f t="shared" si="87"/>
        <v>0</v>
      </c>
      <c r="AC36" s="252" t="str">
        <f t="shared" si="87"/>
        <v>ー</v>
      </c>
      <c r="AD36" s="252" t="str">
        <f t="shared" si="87"/>
        <v>ー</v>
      </c>
      <c r="AE36" s="252" t="str">
        <f t="shared" si="87"/>
        <v>ー</v>
      </c>
      <c r="AF36" s="252" t="str">
        <f t="shared" si="87"/>
        <v>ー</v>
      </c>
      <c r="AG36" s="252">
        <f t="shared" si="87"/>
        <v>0</v>
      </c>
      <c r="AH36" s="252">
        <f t="shared" si="87"/>
        <v>0</v>
      </c>
      <c r="AI36" s="252">
        <f t="shared" si="87"/>
        <v>0</v>
      </c>
      <c r="AJ36" s="252">
        <f t="shared" si="87"/>
        <v>0</v>
      </c>
      <c r="AK36" s="252">
        <f t="shared" si="87"/>
        <v>0</v>
      </c>
      <c r="AL36" s="252">
        <f t="shared" si="56"/>
        <v>0</v>
      </c>
      <c r="AN36" s="205" t="s">
        <v>52</v>
      </c>
      <c r="AO36" s="251">
        <f>VLOOKUP("電気",係数!$B$3:$C$30,2,FALSE)</f>
        <v>8.64</v>
      </c>
      <c r="AP36" s="256">
        <f>VLOOKUP("電気",係数!$B$3:$H$30,7,FALSE)</f>
        <v>4.3100000000000001E-4</v>
      </c>
      <c r="AQ36" s="270">
        <f t="shared" si="57"/>
        <v>0</v>
      </c>
      <c r="AR36" s="270">
        <f t="shared" si="49"/>
        <v>0</v>
      </c>
      <c r="AS36" s="277"/>
      <c r="AU36" s="205" t="s">
        <v>52</v>
      </c>
      <c r="AV36" s="251">
        <f>空調!X25*空調!AC25*空調!L25</f>
        <v>0</v>
      </c>
      <c r="AW36" s="252">
        <f t="shared" si="58"/>
        <v>0</v>
      </c>
      <c r="AX36" s="252">
        <f t="shared" si="59"/>
        <v>0</v>
      </c>
      <c r="AY36" s="252">
        <f t="shared" si="60"/>
        <v>0</v>
      </c>
      <c r="AZ36" s="252">
        <f t="shared" si="61"/>
        <v>0</v>
      </c>
      <c r="BA36" s="252">
        <f t="shared" si="62"/>
        <v>0</v>
      </c>
      <c r="BB36" s="252">
        <f t="shared" si="63"/>
        <v>0</v>
      </c>
      <c r="BC36" s="252">
        <f t="shared" si="64"/>
        <v>0</v>
      </c>
      <c r="BD36" s="252">
        <f t="shared" si="65"/>
        <v>0</v>
      </c>
      <c r="BE36" s="252">
        <f t="shared" si="66"/>
        <v>0</v>
      </c>
      <c r="BF36" s="252" t="str">
        <f t="shared" si="67"/>
        <v>ー</v>
      </c>
      <c r="BG36" s="252" t="str">
        <f t="shared" si="68"/>
        <v>ー</v>
      </c>
      <c r="BH36" s="252">
        <f t="shared" si="69"/>
        <v>0</v>
      </c>
      <c r="BI36" s="252">
        <f t="shared" si="70"/>
        <v>0</v>
      </c>
      <c r="BK36" s="205" t="s">
        <v>52</v>
      </c>
      <c r="BL36" s="251">
        <f>空調!X25*空調!AF25*空調!Q25</f>
        <v>0</v>
      </c>
      <c r="BM36" s="252">
        <f t="shared" si="71"/>
        <v>0</v>
      </c>
      <c r="BN36" s="252">
        <f t="shared" si="72"/>
        <v>0</v>
      </c>
      <c r="BO36" s="252">
        <f t="shared" si="73"/>
        <v>0</v>
      </c>
      <c r="BP36" s="252" t="str">
        <f t="shared" si="74"/>
        <v>ー</v>
      </c>
      <c r="BQ36" s="252" t="str">
        <f t="shared" si="75"/>
        <v>ー</v>
      </c>
      <c r="BR36" s="252" t="str">
        <f t="shared" si="76"/>
        <v>ー</v>
      </c>
      <c r="BS36" s="252" t="str">
        <f t="shared" si="77"/>
        <v>ー</v>
      </c>
      <c r="BT36" s="252">
        <f t="shared" si="78"/>
        <v>0</v>
      </c>
      <c r="BU36" s="252">
        <f t="shared" si="79"/>
        <v>0</v>
      </c>
      <c r="BV36" s="252">
        <f t="shared" si="80"/>
        <v>0</v>
      </c>
      <c r="BW36" s="252">
        <f t="shared" si="81"/>
        <v>0</v>
      </c>
      <c r="BX36" s="252">
        <f t="shared" si="82"/>
        <v>0</v>
      </c>
      <c r="BY36" s="252">
        <f t="shared" si="83"/>
        <v>0</v>
      </c>
    </row>
    <row r="37" spans="2:77">
      <c r="B37" s="205" t="s">
        <v>53</v>
      </c>
      <c r="C37" s="251">
        <f>VLOOKUP("電気",係数!$B$3:$C$30,2,FALSE)</f>
        <v>8.64</v>
      </c>
      <c r="D37" s="276">
        <f>VLOOKUP("電気",係数!$B$3:$H$30,7,FALSE)</f>
        <v>4.3100000000000001E-4</v>
      </c>
      <c r="E37" s="270">
        <f t="shared" si="52"/>
        <v>0</v>
      </c>
      <c r="F37" s="270">
        <f t="shared" si="46"/>
        <v>0</v>
      </c>
      <c r="H37" s="205" t="s">
        <v>53</v>
      </c>
      <c r="I37" s="251">
        <f>空調!D26*空調!J26*空調!L26</f>
        <v>0</v>
      </c>
      <c r="J37" s="252">
        <f t="shared" ref="J37:U37" si="88">IFERROR(IF($C14="事務所",$I37*$D14*J14*J$4,$I37*$D14*J14*J$5),"ー")</f>
        <v>0</v>
      </c>
      <c r="K37" s="252">
        <f t="shared" si="88"/>
        <v>0</v>
      </c>
      <c r="L37" s="252">
        <f t="shared" si="88"/>
        <v>0</v>
      </c>
      <c r="M37" s="252">
        <f t="shared" si="88"/>
        <v>0</v>
      </c>
      <c r="N37" s="252">
        <f t="shared" si="88"/>
        <v>0</v>
      </c>
      <c r="O37" s="252">
        <f t="shared" si="88"/>
        <v>0</v>
      </c>
      <c r="P37" s="252">
        <f t="shared" si="88"/>
        <v>0</v>
      </c>
      <c r="Q37" s="252">
        <f t="shared" si="88"/>
        <v>0</v>
      </c>
      <c r="R37" s="252">
        <f t="shared" si="88"/>
        <v>0</v>
      </c>
      <c r="S37" s="252" t="str">
        <f t="shared" si="88"/>
        <v>ー</v>
      </c>
      <c r="T37" s="252" t="str">
        <f t="shared" si="88"/>
        <v>ー</v>
      </c>
      <c r="U37" s="252">
        <f t="shared" si="88"/>
        <v>0</v>
      </c>
      <c r="V37" s="252">
        <f t="shared" si="54"/>
        <v>0</v>
      </c>
      <c r="X37" s="205" t="s">
        <v>53</v>
      </c>
      <c r="Y37" s="251">
        <f>空調!D26*空調!O26*空調!Q26</f>
        <v>0</v>
      </c>
      <c r="Z37" s="252">
        <f t="shared" ref="Z37:AK37" si="89">IFERROR(IF($C14="事務所",$Y37*$D14*Z14*Z$4,$Y37*$D14*Z14*Z$5),"ー")</f>
        <v>0</v>
      </c>
      <c r="AA37" s="252">
        <f t="shared" si="89"/>
        <v>0</v>
      </c>
      <c r="AB37" s="252">
        <f t="shared" si="89"/>
        <v>0</v>
      </c>
      <c r="AC37" s="252" t="str">
        <f t="shared" si="89"/>
        <v>ー</v>
      </c>
      <c r="AD37" s="252" t="str">
        <f t="shared" si="89"/>
        <v>ー</v>
      </c>
      <c r="AE37" s="252" t="str">
        <f t="shared" si="89"/>
        <v>ー</v>
      </c>
      <c r="AF37" s="252" t="str">
        <f t="shared" si="89"/>
        <v>ー</v>
      </c>
      <c r="AG37" s="252">
        <f t="shared" si="89"/>
        <v>0</v>
      </c>
      <c r="AH37" s="252">
        <f t="shared" si="89"/>
        <v>0</v>
      </c>
      <c r="AI37" s="252">
        <f t="shared" si="89"/>
        <v>0</v>
      </c>
      <c r="AJ37" s="252">
        <f t="shared" si="89"/>
        <v>0</v>
      </c>
      <c r="AK37" s="252">
        <f t="shared" si="89"/>
        <v>0</v>
      </c>
      <c r="AL37" s="252">
        <f t="shared" si="56"/>
        <v>0</v>
      </c>
      <c r="AN37" s="205" t="s">
        <v>53</v>
      </c>
      <c r="AO37" s="251">
        <f>VLOOKUP("電気",係数!$B$3:$C$30,2,FALSE)</f>
        <v>8.64</v>
      </c>
      <c r="AP37" s="256">
        <f>VLOOKUP("電気",係数!$B$3:$H$30,7,FALSE)</f>
        <v>4.3100000000000001E-4</v>
      </c>
      <c r="AQ37" s="270">
        <f t="shared" si="57"/>
        <v>0</v>
      </c>
      <c r="AR37" s="270">
        <f t="shared" si="49"/>
        <v>0</v>
      </c>
      <c r="AS37" s="277"/>
      <c r="AU37" s="205" t="s">
        <v>53</v>
      </c>
      <c r="AV37" s="251">
        <f>空調!X26*空調!AC26*空調!L26</f>
        <v>0</v>
      </c>
      <c r="AW37" s="252">
        <f t="shared" si="58"/>
        <v>0</v>
      </c>
      <c r="AX37" s="252">
        <f t="shared" si="59"/>
        <v>0</v>
      </c>
      <c r="AY37" s="252">
        <f t="shared" si="60"/>
        <v>0</v>
      </c>
      <c r="AZ37" s="252">
        <f t="shared" si="61"/>
        <v>0</v>
      </c>
      <c r="BA37" s="252">
        <f t="shared" si="62"/>
        <v>0</v>
      </c>
      <c r="BB37" s="252">
        <f t="shared" si="63"/>
        <v>0</v>
      </c>
      <c r="BC37" s="252">
        <f t="shared" si="64"/>
        <v>0</v>
      </c>
      <c r="BD37" s="252">
        <f t="shared" si="65"/>
        <v>0</v>
      </c>
      <c r="BE37" s="252">
        <f t="shared" si="66"/>
        <v>0</v>
      </c>
      <c r="BF37" s="252" t="str">
        <f t="shared" si="67"/>
        <v>ー</v>
      </c>
      <c r="BG37" s="252" t="str">
        <f t="shared" si="68"/>
        <v>ー</v>
      </c>
      <c r="BH37" s="252">
        <f t="shared" si="69"/>
        <v>0</v>
      </c>
      <c r="BI37" s="252">
        <f t="shared" si="70"/>
        <v>0</v>
      </c>
      <c r="BK37" s="205" t="s">
        <v>53</v>
      </c>
      <c r="BL37" s="251">
        <f>空調!X26*空調!AF26*空調!Q26</f>
        <v>0</v>
      </c>
      <c r="BM37" s="252">
        <f t="shared" si="71"/>
        <v>0</v>
      </c>
      <c r="BN37" s="252">
        <f t="shared" si="72"/>
        <v>0</v>
      </c>
      <c r="BO37" s="252">
        <f t="shared" si="73"/>
        <v>0</v>
      </c>
      <c r="BP37" s="252" t="str">
        <f t="shared" si="74"/>
        <v>ー</v>
      </c>
      <c r="BQ37" s="252" t="str">
        <f t="shared" si="75"/>
        <v>ー</v>
      </c>
      <c r="BR37" s="252" t="str">
        <f t="shared" si="76"/>
        <v>ー</v>
      </c>
      <c r="BS37" s="252" t="str">
        <f t="shared" si="77"/>
        <v>ー</v>
      </c>
      <c r="BT37" s="252">
        <f t="shared" si="78"/>
        <v>0</v>
      </c>
      <c r="BU37" s="252">
        <f t="shared" si="79"/>
        <v>0</v>
      </c>
      <c r="BV37" s="252">
        <f t="shared" si="80"/>
        <v>0</v>
      </c>
      <c r="BW37" s="252">
        <f t="shared" si="81"/>
        <v>0</v>
      </c>
      <c r="BX37" s="252">
        <f t="shared" si="82"/>
        <v>0</v>
      </c>
      <c r="BY37" s="252">
        <f t="shared" si="83"/>
        <v>0</v>
      </c>
    </row>
    <row r="38" spans="2:77">
      <c r="B38" s="205" t="s">
        <v>54</v>
      </c>
      <c r="C38" s="251">
        <f>VLOOKUP("電気",係数!$B$3:$C$30,2,FALSE)</f>
        <v>8.64</v>
      </c>
      <c r="D38" s="276">
        <f>VLOOKUP("電気",係数!$B$3:$H$30,7,FALSE)</f>
        <v>4.3100000000000001E-4</v>
      </c>
      <c r="E38" s="270">
        <f t="shared" si="52"/>
        <v>0</v>
      </c>
      <c r="F38" s="270">
        <f t="shared" si="46"/>
        <v>0</v>
      </c>
      <c r="H38" s="205" t="s">
        <v>54</v>
      </c>
      <c r="I38" s="251">
        <f>空調!D27*空調!J27*空調!L27</f>
        <v>0</v>
      </c>
      <c r="J38" s="252">
        <f t="shared" ref="J38:U38" si="90">IFERROR(IF($C15="事務所",$I38*$D15*J15*J$4,$I38*$D15*J15*J$5),"ー")</f>
        <v>0</v>
      </c>
      <c r="K38" s="252">
        <f t="shared" si="90"/>
        <v>0</v>
      </c>
      <c r="L38" s="252">
        <f t="shared" si="90"/>
        <v>0</v>
      </c>
      <c r="M38" s="252">
        <f t="shared" si="90"/>
        <v>0</v>
      </c>
      <c r="N38" s="252">
        <f t="shared" si="90"/>
        <v>0</v>
      </c>
      <c r="O38" s="252">
        <f t="shared" si="90"/>
        <v>0</v>
      </c>
      <c r="P38" s="252">
        <f t="shared" si="90"/>
        <v>0</v>
      </c>
      <c r="Q38" s="252">
        <f t="shared" si="90"/>
        <v>0</v>
      </c>
      <c r="R38" s="252">
        <f t="shared" si="90"/>
        <v>0</v>
      </c>
      <c r="S38" s="252" t="str">
        <f t="shared" si="90"/>
        <v>ー</v>
      </c>
      <c r="T38" s="252" t="str">
        <f t="shared" si="90"/>
        <v>ー</v>
      </c>
      <c r="U38" s="252">
        <f t="shared" si="90"/>
        <v>0</v>
      </c>
      <c r="V38" s="252">
        <f t="shared" si="54"/>
        <v>0</v>
      </c>
      <c r="X38" s="205" t="s">
        <v>54</v>
      </c>
      <c r="Y38" s="251">
        <f>空調!D27*空調!O27*空調!Q27</f>
        <v>0</v>
      </c>
      <c r="Z38" s="252">
        <f t="shared" ref="Z38:AK38" si="91">IFERROR(IF($C15="事務所",$Y38*$D15*Z15*Z$4,$Y38*$D15*Z15*Z$5),"ー")</f>
        <v>0</v>
      </c>
      <c r="AA38" s="252">
        <f t="shared" si="91"/>
        <v>0</v>
      </c>
      <c r="AB38" s="252">
        <f t="shared" si="91"/>
        <v>0</v>
      </c>
      <c r="AC38" s="252" t="str">
        <f t="shared" si="91"/>
        <v>ー</v>
      </c>
      <c r="AD38" s="252" t="str">
        <f t="shared" si="91"/>
        <v>ー</v>
      </c>
      <c r="AE38" s="252" t="str">
        <f t="shared" si="91"/>
        <v>ー</v>
      </c>
      <c r="AF38" s="252" t="str">
        <f t="shared" si="91"/>
        <v>ー</v>
      </c>
      <c r="AG38" s="252">
        <f t="shared" si="91"/>
        <v>0</v>
      </c>
      <c r="AH38" s="252">
        <f t="shared" si="91"/>
        <v>0</v>
      </c>
      <c r="AI38" s="252">
        <f t="shared" si="91"/>
        <v>0</v>
      </c>
      <c r="AJ38" s="252">
        <f t="shared" si="91"/>
        <v>0</v>
      </c>
      <c r="AK38" s="252">
        <f t="shared" si="91"/>
        <v>0</v>
      </c>
      <c r="AL38" s="252">
        <f t="shared" si="56"/>
        <v>0</v>
      </c>
      <c r="AN38" s="205" t="s">
        <v>54</v>
      </c>
      <c r="AO38" s="251">
        <f>VLOOKUP("電気",係数!$B$3:$C$30,2,FALSE)</f>
        <v>8.64</v>
      </c>
      <c r="AP38" s="256">
        <f>VLOOKUP("電気",係数!$B$3:$H$30,7,FALSE)</f>
        <v>4.3100000000000001E-4</v>
      </c>
      <c r="AQ38" s="270">
        <f t="shared" si="57"/>
        <v>0</v>
      </c>
      <c r="AR38" s="270">
        <f t="shared" si="49"/>
        <v>0</v>
      </c>
      <c r="AS38" s="277"/>
      <c r="AU38" s="205" t="s">
        <v>54</v>
      </c>
      <c r="AV38" s="251">
        <f>空調!X27*空調!AC27*空調!L27</f>
        <v>0</v>
      </c>
      <c r="AW38" s="252">
        <f t="shared" si="58"/>
        <v>0</v>
      </c>
      <c r="AX38" s="252">
        <f t="shared" si="59"/>
        <v>0</v>
      </c>
      <c r="AY38" s="252">
        <f t="shared" si="60"/>
        <v>0</v>
      </c>
      <c r="AZ38" s="252">
        <f t="shared" si="61"/>
        <v>0</v>
      </c>
      <c r="BA38" s="252">
        <f t="shared" si="62"/>
        <v>0</v>
      </c>
      <c r="BB38" s="252">
        <f t="shared" si="63"/>
        <v>0</v>
      </c>
      <c r="BC38" s="252">
        <f t="shared" si="64"/>
        <v>0</v>
      </c>
      <c r="BD38" s="252">
        <f t="shared" si="65"/>
        <v>0</v>
      </c>
      <c r="BE38" s="252">
        <f t="shared" si="66"/>
        <v>0</v>
      </c>
      <c r="BF38" s="252" t="str">
        <f t="shared" si="67"/>
        <v>ー</v>
      </c>
      <c r="BG38" s="252" t="str">
        <f t="shared" si="68"/>
        <v>ー</v>
      </c>
      <c r="BH38" s="252">
        <f t="shared" si="69"/>
        <v>0</v>
      </c>
      <c r="BI38" s="252">
        <f t="shared" si="70"/>
        <v>0</v>
      </c>
      <c r="BK38" s="205" t="s">
        <v>54</v>
      </c>
      <c r="BL38" s="251">
        <f>空調!X27*空調!AF27*空調!Q27</f>
        <v>0</v>
      </c>
      <c r="BM38" s="252">
        <f t="shared" si="71"/>
        <v>0</v>
      </c>
      <c r="BN38" s="252">
        <f t="shared" si="72"/>
        <v>0</v>
      </c>
      <c r="BO38" s="252">
        <f t="shared" si="73"/>
        <v>0</v>
      </c>
      <c r="BP38" s="252" t="str">
        <f t="shared" si="74"/>
        <v>ー</v>
      </c>
      <c r="BQ38" s="252" t="str">
        <f t="shared" si="75"/>
        <v>ー</v>
      </c>
      <c r="BR38" s="252" t="str">
        <f t="shared" si="76"/>
        <v>ー</v>
      </c>
      <c r="BS38" s="252" t="str">
        <f t="shared" si="77"/>
        <v>ー</v>
      </c>
      <c r="BT38" s="252">
        <f t="shared" si="78"/>
        <v>0</v>
      </c>
      <c r="BU38" s="252">
        <f t="shared" si="79"/>
        <v>0</v>
      </c>
      <c r="BV38" s="252">
        <f t="shared" si="80"/>
        <v>0</v>
      </c>
      <c r="BW38" s="252">
        <f t="shared" si="81"/>
        <v>0</v>
      </c>
      <c r="BX38" s="252">
        <f t="shared" si="82"/>
        <v>0</v>
      </c>
      <c r="BY38" s="252">
        <f t="shared" si="83"/>
        <v>0</v>
      </c>
    </row>
    <row r="39" spans="2:77">
      <c r="B39" s="205" t="s">
        <v>55</v>
      </c>
      <c r="C39" s="251">
        <f>VLOOKUP("電気",係数!$B$3:$C$30,2,FALSE)</f>
        <v>8.64</v>
      </c>
      <c r="D39" s="276">
        <f>VLOOKUP("電気",係数!$B$3:$H$30,7,FALSE)</f>
        <v>4.3100000000000001E-4</v>
      </c>
      <c r="E39" s="270">
        <f t="shared" si="52"/>
        <v>0</v>
      </c>
      <c r="F39" s="270">
        <f t="shared" si="46"/>
        <v>0</v>
      </c>
      <c r="H39" s="205" t="s">
        <v>55</v>
      </c>
      <c r="I39" s="251">
        <f>空調!D28*空調!J28*空調!L28</f>
        <v>0</v>
      </c>
      <c r="J39" s="252">
        <f t="shared" ref="J39:U39" si="92">IFERROR(IF($C16="事務所",$I39*$D16*J16*J$4,$I39*$D16*J16*J$5),"ー")</f>
        <v>0</v>
      </c>
      <c r="K39" s="252">
        <f t="shared" si="92"/>
        <v>0</v>
      </c>
      <c r="L39" s="252">
        <f t="shared" si="92"/>
        <v>0</v>
      </c>
      <c r="M39" s="252">
        <f t="shared" si="92"/>
        <v>0</v>
      </c>
      <c r="N39" s="252">
        <f t="shared" si="92"/>
        <v>0</v>
      </c>
      <c r="O39" s="252">
        <f t="shared" si="92"/>
        <v>0</v>
      </c>
      <c r="P39" s="252">
        <f t="shared" si="92"/>
        <v>0</v>
      </c>
      <c r="Q39" s="252">
        <f t="shared" si="92"/>
        <v>0</v>
      </c>
      <c r="R39" s="252">
        <f t="shared" si="92"/>
        <v>0</v>
      </c>
      <c r="S39" s="252" t="str">
        <f t="shared" si="92"/>
        <v>ー</v>
      </c>
      <c r="T39" s="252" t="str">
        <f t="shared" si="92"/>
        <v>ー</v>
      </c>
      <c r="U39" s="252">
        <f t="shared" si="92"/>
        <v>0</v>
      </c>
      <c r="V39" s="252">
        <f t="shared" si="54"/>
        <v>0</v>
      </c>
      <c r="X39" s="205" t="s">
        <v>55</v>
      </c>
      <c r="Y39" s="251">
        <f>空調!D28*空調!O28*空調!Q28</f>
        <v>0</v>
      </c>
      <c r="Z39" s="252">
        <f t="shared" ref="Z39:AK39" si="93">IFERROR(IF($C16="事務所",$Y39*$D16*Z16*Z$4,$Y39*$D16*Z16*Z$5),"ー")</f>
        <v>0</v>
      </c>
      <c r="AA39" s="252">
        <f t="shared" si="93"/>
        <v>0</v>
      </c>
      <c r="AB39" s="252">
        <f t="shared" si="93"/>
        <v>0</v>
      </c>
      <c r="AC39" s="252" t="str">
        <f t="shared" si="93"/>
        <v>ー</v>
      </c>
      <c r="AD39" s="252" t="str">
        <f t="shared" si="93"/>
        <v>ー</v>
      </c>
      <c r="AE39" s="252" t="str">
        <f t="shared" si="93"/>
        <v>ー</v>
      </c>
      <c r="AF39" s="252" t="str">
        <f t="shared" si="93"/>
        <v>ー</v>
      </c>
      <c r="AG39" s="252">
        <f t="shared" si="93"/>
        <v>0</v>
      </c>
      <c r="AH39" s="252">
        <f t="shared" si="93"/>
        <v>0</v>
      </c>
      <c r="AI39" s="252">
        <f t="shared" si="93"/>
        <v>0</v>
      </c>
      <c r="AJ39" s="252">
        <f t="shared" si="93"/>
        <v>0</v>
      </c>
      <c r="AK39" s="252">
        <f t="shared" si="93"/>
        <v>0</v>
      </c>
      <c r="AL39" s="252">
        <f t="shared" si="56"/>
        <v>0</v>
      </c>
      <c r="AN39" s="205" t="s">
        <v>55</v>
      </c>
      <c r="AO39" s="251">
        <f>VLOOKUP("電気",係数!$B$3:$C$30,2,FALSE)</f>
        <v>8.64</v>
      </c>
      <c r="AP39" s="256">
        <f>VLOOKUP("電気",係数!$B$3:$H$30,7,FALSE)</f>
        <v>4.3100000000000001E-4</v>
      </c>
      <c r="AQ39" s="270">
        <f t="shared" si="57"/>
        <v>0</v>
      </c>
      <c r="AR39" s="270">
        <f t="shared" si="49"/>
        <v>0</v>
      </c>
      <c r="AS39" s="277"/>
      <c r="AU39" s="205" t="s">
        <v>55</v>
      </c>
      <c r="AV39" s="251">
        <f>空調!X28*空調!AC28*空調!L28</f>
        <v>0</v>
      </c>
      <c r="AW39" s="252">
        <f t="shared" si="58"/>
        <v>0</v>
      </c>
      <c r="AX39" s="252">
        <f t="shared" si="59"/>
        <v>0</v>
      </c>
      <c r="AY39" s="252">
        <f t="shared" si="60"/>
        <v>0</v>
      </c>
      <c r="AZ39" s="252">
        <f t="shared" si="61"/>
        <v>0</v>
      </c>
      <c r="BA39" s="252">
        <f t="shared" si="62"/>
        <v>0</v>
      </c>
      <c r="BB39" s="252">
        <f t="shared" si="63"/>
        <v>0</v>
      </c>
      <c r="BC39" s="252">
        <f t="shared" si="64"/>
        <v>0</v>
      </c>
      <c r="BD39" s="252">
        <f t="shared" si="65"/>
        <v>0</v>
      </c>
      <c r="BE39" s="252">
        <f t="shared" si="66"/>
        <v>0</v>
      </c>
      <c r="BF39" s="252" t="str">
        <f t="shared" si="67"/>
        <v>ー</v>
      </c>
      <c r="BG39" s="252" t="str">
        <f t="shared" si="68"/>
        <v>ー</v>
      </c>
      <c r="BH39" s="252">
        <f t="shared" si="69"/>
        <v>0</v>
      </c>
      <c r="BI39" s="252">
        <f t="shared" si="70"/>
        <v>0</v>
      </c>
      <c r="BK39" s="205" t="s">
        <v>55</v>
      </c>
      <c r="BL39" s="251">
        <f>空調!X28*空調!AF28*空調!Q28</f>
        <v>0</v>
      </c>
      <c r="BM39" s="252">
        <f t="shared" si="71"/>
        <v>0</v>
      </c>
      <c r="BN39" s="252">
        <f t="shared" si="72"/>
        <v>0</v>
      </c>
      <c r="BO39" s="252">
        <f t="shared" si="73"/>
        <v>0</v>
      </c>
      <c r="BP39" s="252" t="str">
        <f t="shared" si="74"/>
        <v>ー</v>
      </c>
      <c r="BQ39" s="252" t="str">
        <f t="shared" si="75"/>
        <v>ー</v>
      </c>
      <c r="BR39" s="252" t="str">
        <f t="shared" si="76"/>
        <v>ー</v>
      </c>
      <c r="BS39" s="252" t="str">
        <f t="shared" si="77"/>
        <v>ー</v>
      </c>
      <c r="BT39" s="252">
        <f t="shared" si="78"/>
        <v>0</v>
      </c>
      <c r="BU39" s="252">
        <f t="shared" si="79"/>
        <v>0</v>
      </c>
      <c r="BV39" s="252">
        <f t="shared" si="80"/>
        <v>0</v>
      </c>
      <c r="BW39" s="252">
        <f t="shared" si="81"/>
        <v>0</v>
      </c>
      <c r="BX39" s="252">
        <f t="shared" si="82"/>
        <v>0</v>
      </c>
      <c r="BY39" s="252">
        <f t="shared" si="83"/>
        <v>0</v>
      </c>
    </row>
    <row r="40" spans="2:77">
      <c r="B40" s="205" t="s">
        <v>56</v>
      </c>
      <c r="C40" s="251">
        <f>VLOOKUP("電気",係数!$B$3:$C$30,2,FALSE)</f>
        <v>8.64</v>
      </c>
      <c r="D40" s="276">
        <f>VLOOKUP("電気",係数!$B$3:$H$30,7,FALSE)</f>
        <v>4.3100000000000001E-4</v>
      </c>
      <c r="E40" s="270">
        <f t="shared" si="52"/>
        <v>0</v>
      </c>
      <c r="F40" s="270">
        <f t="shared" si="46"/>
        <v>0</v>
      </c>
      <c r="H40" s="205" t="s">
        <v>56</v>
      </c>
      <c r="I40" s="251">
        <f>空調!D29*空調!J29*空調!L29</f>
        <v>0</v>
      </c>
      <c r="J40" s="252">
        <f t="shared" ref="J40:U40" si="94">IFERROR(IF($C17="事務所",$I40*$D17*J17*J$4,$I40*$D17*J17*J$5),"ー")</f>
        <v>0</v>
      </c>
      <c r="K40" s="252">
        <f t="shared" si="94"/>
        <v>0</v>
      </c>
      <c r="L40" s="252">
        <f t="shared" si="94"/>
        <v>0</v>
      </c>
      <c r="M40" s="252">
        <f t="shared" si="94"/>
        <v>0</v>
      </c>
      <c r="N40" s="252">
        <f t="shared" si="94"/>
        <v>0</v>
      </c>
      <c r="O40" s="252">
        <f t="shared" si="94"/>
        <v>0</v>
      </c>
      <c r="P40" s="252">
        <f t="shared" si="94"/>
        <v>0</v>
      </c>
      <c r="Q40" s="252">
        <f t="shared" si="94"/>
        <v>0</v>
      </c>
      <c r="R40" s="252">
        <f t="shared" si="94"/>
        <v>0</v>
      </c>
      <c r="S40" s="252" t="str">
        <f t="shared" si="94"/>
        <v>ー</v>
      </c>
      <c r="T40" s="252" t="str">
        <f t="shared" si="94"/>
        <v>ー</v>
      </c>
      <c r="U40" s="252">
        <f t="shared" si="94"/>
        <v>0</v>
      </c>
      <c r="V40" s="252">
        <f t="shared" si="54"/>
        <v>0</v>
      </c>
      <c r="X40" s="205" t="s">
        <v>56</v>
      </c>
      <c r="Y40" s="251">
        <f>空調!D29*空調!O29*空調!Q29</f>
        <v>0</v>
      </c>
      <c r="Z40" s="252">
        <f t="shared" ref="Z40:AK40" si="95">IFERROR(IF($C17="事務所",$Y40*$D17*Z17*Z$4,$Y40*$D17*Z17*Z$5),"ー")</f>
        <v>0</v>
      </c>
      <c r="AA40" s="252">
        <f t="shared" si="95"/>
        <v>0</v>
      </c>
      <c r="AB40" s="252">
        <f t="shared" si="95"/>
        <v>0</v>
      </c>
      <c r="AC40" s="252" t="str">
        <f t="shared" si="95"/>
        <v>ー</v>
      </c>
      <c r="AD40" s="252" t="str">
        <f t="shared" si="95"/>
        <v>ー</v>
      </c>
      <c r="AE40" s="252" t="str">
        <f t="shared" si="95"/>
        <v>ー</v>
      </c>
      <c r="AF40" s="252" t="str">
        <f t="shared" si="95"/>
        <v>ー</v>
      </c>
      <c r="AG40" s="252">
        <f t="shared" si="95"/>
        <v>0</v>
      </c>
      <c r="AH40" s="252">
        <f t="shared" si="95"/>
        <v>0</v>
      </c>
      <c r="AI40" s="252">
        <f t="shared" si="95"/>
        <v>0</v>
      </c>
      <c r="AJ40" s="252">
        <f t="shared" si="95"/>
        <v>0</v>
      </c>
      <c r="AK40" s="252">
        <f t="shared" si="95"/>
        <v>0</v>
      </c>
      <c r="AL40" s="252">
        <f t="shared" si="56"/>
        <v>0</v>
      </c>
      <c r="AN40" s="205" t="s">
        <v>56</v>
      </c>
      <c r="AO40" s="251">
        <f>VLOOKUP("電気",係数!$B$3:$C$30,2,FALSE)</f>
        <v>8.64</v>
      </c>
      <c r="AP40" s="256">
        <f>VLOOKUP("電気",係数!$B$3:$H$30,7,FALSE)</f>
        <v>4.3100000000000001E-4</v>
      </c>
      <c r="AQ40" s="270">
        <f t="shared" si="57"/>
        <v>0</v>
      </c>
      <c r="AR40" s="270">
        <f t="shared" si="49"/>
        <v>0</v>
      </c>
      <c r="AS40" s="277"/>
      <c r="AU40" s="205" t="s">
        <v>56</v>
      </c>
      <c r="AV40" s="251">
        <f>空調!X29*空調!AC29*空調!L29</f>
        <v>0</v>
      </c>
      <c r="AW40" s="252">
        <f t="shared" ref="AW40:AW52" si="96">IF(AND($AP17&lt;&gt;0,$AQ17&lt;&gt;0),IFERROR(J40*($AP17/$AQ17),"ー"),IFERROR(IF($C17="事務所",$AV40*AW17*AW$4,$AV40*AW17*AW$5),"ー"))</f>
        <v>0</v>
      </c>
      <c r="AX40" s="252">
        <f t="shared" si="59"/>
        <v>0</v>
      </c>
      <c r="AY40" s="252">
        <f t="shared" si="60"/>
        <v>0</v>
      </c>
      <c r="AZ40" s="252">
        <f t="shared" si="61"/>
        <v>0</v>
      </c>
      <c r="BA40" s="252">
        <f t="shared" si="62"/>
        <v>0</v>
      </c>
      <c r="BB40" s="252">
        <f t="shared" si="63"/>
        <v>0</v>
      </c>
      <c r="BC40" s="252">
        <f t="shared" si="64"/>
        <v>0</v>
      </c>
      <c r="BD40" s="252">
        <f t="shared" si="65"/>
        <v>0</v>
      </c>
      <c r="BE40" s="252">
        <f t="shared" si="66"/>
        <v>0</v>
      </c>
      <c r="BF40" s="252" t="str">
        <f t="shared" si="67"/>
        <v>ー</v>
      </c>
      <c r="BG40" s="252" t="str">
        <f t="shared" si="68"/>
        <v>ー</v>
      </c>
      <c r="BH40" s="252">
        <f t="shared" si="69"/>
        <v>0</v>
      </c>
      <c r="BI40" s="252">
        <f t="shared" si="70"/>
        <v>0</v>
      </c>
      <c r="BK40" s="205" t="s">
        <v>56</v>
      </c>
      <c r="BL40" s="251">
        <f>空調!X29*空調!AF29*空調!Q29</f>
        <v>0</v>
      </c>
      <c r="BM40" s="252">
        <f t="shared" si="71"/>
        <v>0</v>
      </c>
      <c r="BN40" s="252">
        <f t="shared" si="72"/>
        <v>0</v>
      </c>
      <c r="BO40" s="252">
        <f t="shared" si="73"/>
        <v>0</v>
      </c>
      <c r="BP40" s="252" t="str">
        <f t="shared" si="74"/>
        <v>ー</v>
      </c>
      <c r="BQ40" s="252" t="str">
        <f t="shared" si="75"/>
        <v>ー</v>
      </c>
      <c r="BR40" s="252" t="str">
        <f t="shared" si="76"/>
        <v>ー</v>
      </c>
      <c r="BS40" s="252" t="str">
        <f t="shared" si="77"/>
        <v>ー</v>
      </c>
      <c r="BT40" s="252">
        <f t="shared" si="78"/>
        <v>0</v>
      </c>
      <c r="BU40" s="252">
        <f t="shared" si="79"/>
        <v>0</v>
      </c>
      <c r="BV40" s="252">
        <f t="shared" si="80"/>
        <v>0</v>
      </c>
      <c r="BW40" s="252">
        <f t="shared" si="81"/>
        <v>0</v>
      </c>
      <c r="BX40" s="252">
        <f t="shared" si="82"/>
        <v>0</v>
      </c>
      <c r="BY40" s="252">
        <f t="shared" si="83"/>
        <v>0</v>
      </c>
    </row>
    <row r="41" spans="2:77">
      <c r="B41" s="205" t="s">
        <v>57</v>
      </c>
      <c r="C41" s="251">
        <f>VLOOKUP("電気",係数!$B$3:$C$30,2,FALSE)</f>
        <v>8.64</v>
      </c>
      <c r="D41" s="276">
        <f>VLOOKUP("電気",係数!$B$3:$H$30,7,FALSE)</f>
        <v>4.3100000000000001E-4</v>
      </c>
      <c r="E41" s="270">
        <f t="shared" si="52"/>
        <v>0</v>
      </c>
      <c r="F41" s="270">
        <f t="shared" si="46"/>
        <v>0</v>
      </c>
      <c r="H41" s="205" t="s">
        <v>57</v>
      </c>
      <c r="I41" s="251">
        <f>空調!D30*空調!J30*空調!L30</f>
        <v>0</v>
      </c>
      <c r="J41" s="252">
        <f t="shared" ref="J41:U41" si="97">IFERROR(IF($C18="事務所",$I41*$D18*J18*J$4,$I41*$D18*J18*J$5),"ー")</f>
        <v>0</v>
      </c>
      <c r="K41" s="252">
        <f t="shared" si="97"/>
        <v>0</v>
      </c>
      <c r="L41" s="252">
        <f t="shared" si="97"/>
        <v>0</v>
      </c>
      <c r="M41" s="252">
        <f t="shared" si="97"/>
        <v>0</v>
      </c>
      <c r="N41" s="252">
        <f t="shared" si="97"/>
        <v>0</v>
      </c>
      <c r="O41" s="252">
        <f t="shared" si="97"/>
        <v>0</v>
      </c>
      <c r="P41" s="252">
        <f t="shared" si="97"/>
        <v>0</v>
      </c>
      <c r="Q41" s="252">
        <f t="shared" si="97"/>
        <v>0</v>
      </c>
      <c r="R41" s="252">
        <f t="shared" si="97"/>
        <v>0</v>
      </c>
      <c r="S41" s="252" t="str">
        <f t="shared" si="97"/>
        <v>ー</v>
      </c>
      <c r="T41" s="252" t="str">
        <f t="shared" si="97"/>
        <v>ー</v>
      </c>
      <c r="U41" s="252">
        <f t="shared" si="97"/>
        <v>0</v>
      </c>
      <c r="V41" s="252">
        <f t="shared" si="54"/>
        <v>0</v>
      </c>
      <c r="X41" s="205" t="s">
        <v>57</v>
      </c>
      <c r="Y41" s="251">
        <f>空調!D30*空調!O30*空調!Q30</f>
        <v>0</v>
      </c>
      <c r="Z41" s="252">
        <f t="shared" ref="Z41:AK41" si="98">IFERROR(IF($C18="事務所",$Y41*$D18*Z18*Z$4,$Y41*$D18*Z18*Z$5),"ー")</f>
        <v>0</v>
      </c>
      <c r="AA41" s="252">
        <f t="shared" si="98"/>
        <v>0</v>
      </c>
      <c r="AB41" s="252">
        <f t="shared" si="98"/>
        <v>0</v>
      </c>
      <c r="AC41" s="252" t="str">
        <f t="shared" si="98"/>
        <v>ー</v>
      </c>
      <c r="AD41" s="252" t="str">
        <f t="shared" si="98"/>
        <v>ー</v>
      </c>
      <c r="AE41" s="252" t="str">
        <f t="shared" si="98"/>
        <v>ー</v>
      </c>
      <c r="AF41" s="252" t="str">
        <f t="shared" si="98"/>
        <v>ー</v>
      </c>
      <c r="AG41" s="252">
        <f t="shared" si="98"/>
        <v>0</v>
      </c>
      <c r="AH41" s="252">
        <f t="shared" si="98"/>
        <v>0</v>
      </c>
      <c r="AI41" s="252">
        <f t="shared" si="98"/>
        <v>0</v>
      </c>
      <c r="AJ41" s="252">
        <f t="shared" si="98"/>
        <v>0</v>
      </c>
      <c r="AK41" s="252">
        <f t="shared" si="98"/>
        <v>0</v>
      </c>
      <c r="AL41" s="252">
        <f t="shared" si="56"/>
        <v>0</v>
      </c>
      <c r="AN41" s="205" t="s">
        <v>57</v>
      </c>
      <c r="AO41" s="251">
        <f>VLOOKUP("電気",係数!$B$3:$C$30,2,FALSE)</f>
        <v>8.64</v>
      </c>
      <c r="AP41" s="256">
        <f>VLOOKUP("電気",係数!$B$3:$H$30,7,FALSE)</f>
        <v>4.3100000000000001E-4</v>
      </c>
      <c r="AQ41" s="270">
        <f t="shared" si="57"/>
        <v>0</v>
      </c>
      <c r="AR41" s="270">
        <f t="shared" si="49"/>
        <v>0</v>
      </c>
      <c r="AS41" s="277"/>
      <c r="AU41" s="205" t="s">
        <v>57</v>
      </c>
      <c r="AV41" s="251">
        <f>空調!X30*空調!AC30*空調!L30</f>
        <v>0</v>
      </c>
      <c r="AW41" s="252">
        <f t="shared" si="96"/>
        <v>0</v>
      </c>
      <c r="AX41" s="252">
        <f t="shared" si="59"/>
        <v>0</v>
      </c>
      <c r="AY41" s="252">
        <f t="shared" si="60"/>
        <v>0</v>
      </c>
      <c r="AZ41" s="252">
        <f t="shared" si="61"/>
        <v>0</v>
      </c>
      <c r="BA41" s="252">
        <f t="shared" si="62"/>
        <v>0</v>
      </c>
      <c r="BB41" s="252">
        <f t="shared" si="63"/>
        <v>0</v>
      </c>
      <c r="BC41" s="252">
        <f t="shared" si="64"/>
        <v>0</v>
      </c>
      <c r="BD41" s="252">
        <f t="shared" si="65"/>
        <v>0</v>
      </c>
      <c r="BE41" s="252">
        <f t="shared" si="66"/>
        <v>0</v>
      </c>
      <c r="BF41" s="252" t="str">
        <f t="shared" si="67"/>
        <v>ー</v>
      </c>
      <c r="BG41" s="252" t="str">
        <f t="shared" si="68"/>
        <v>ー</v>
      </c>
      <c r="BH41" s="252">
        <f t="shared" si="69"/>
        <v>0</v>
      </c>
      <c r="BI41" s="252">
        <f t="shared" si="70"/>
        <v>0</v>
      </c>
      <c r="BK41" s="205" t="s">
        <v>57</v>
      </c>
      <c r="BL41" s="251">
        <f>空調!X30*空調!AF30*空調!Q30</f>
        <v>0</v>
      </c>
      <c r="BM41" s="252">
        <f t="shared" si="71"/>
        <v>0</v>
      </c>
      <c r="BN41" s="252">
        <f t="shared" si="72"/>
        <v>0</v>
      </c>
      <c r="BO41" s="252">
        <f t="shared" si="73"/>
        <v>0</v>
      </c>
      <c r="BP41" s="252" t="str">
        <f t="shared" si="74"/>
        <v>ー</v>
      </c>
      <c r="BQ41" s="252" t="str">
        <f t="shared" si="75"/>
        <v>ー</v>
      </c>
      <c r="BR41" s="252" t="str">
        <f t="shared" si="76"/>
        <v>ー</v>
      </c>
      <c r="BS41" s="252" t="str">
        <f t="shared" si="77"/>
        <v>ー</v>
      </c>
      <c r="BT41" s="252">
        <f t="shared" si="78"/>
        <v>0</v>
      </c>
      <c r="BU41" s="252">
        <f t="shared" si="79"/>
        <v>0</v>
      </c>
      <c r="BV41" s="252">
        <f t="shared" si="80"/>
        <v>0</v>
      </c>
      <c r="BW41" s="252">
        <f t="shared" si="81"/>
        <v>0</v>
      </c>
      <c r="BX41" s="252">
        <f t="shared" si="82"/>
        <v>0</v>
      </c>
      <c r="BY41" s="252">
        <f t="shared" si="83"/>
        <v>0</v>
      </c>
    </row>
    <row r="42" spans="2:77">
      <c r="B42" s="205" t="s">
        <v>58</v>
      </c>
      <c r="C42" s="251">
        <f>VLOOKUP("電気",係数!$B$3:$C$30,2,FALSE)</f>
        <v>8.64</v>
      </c>
      <c r="D42" s="276">
        <f>VLOOKUP("電気",係数!$B$3:$H$30,7,FALSE)</f>
        <v>4.3100000000000001E-4</v>
      </c>
      <c r="E42" s="270">
        <f t="shared" si="52"/>
        <v>0</v>
      </c>
      <c r="F42" s="270">
        <f t="shared" si="46"/>
        <v>0</v>
      </c>
      <c r="H42" s="205" t="s">
        <v>58</v>
      </c>
      <c r="I42" s="251">
        <f>空調!D31*空調!J31*空調!L31</f>
        <v>0</v>
      </c>
      <c r="J42" s="252">
        <f t="shared" ref="J42:U42" si="99">IFERROR(IF($C19="事務所",$I42*$D19*J19*J$4,$I42*$D19*J19*J$5),"ー")</f>
        <v>0</v>
      </c>
      <c r="K42" s="252">
        <f t="shared" si="99"/>
        <v>0</v>
      </c>
      <c r="L42" s="252">
        <f t="shared" si="99"/>
        <v>0</v>
      </c>
      <c r="M42" s="252">
        <f t="shared" si="99"/>
        <v>0</v>
      </c>
      <c r="N42" s="252">
        <f t="shared" si="99"/>
        <v>0</v>
      </c>
      <c r="O42" s="252">
        <f t="shared" si="99"/>
        <v>0</v>
      </c>
      <c r="P42" s="252">
        <f t="shared" si="99"/>
        <v>0</v>
      </c>
      <c r="Q42" s="252">
        <f t="shared" si="99"/>
        <v>0</v>
      </c>
      <c r="R42" s="252">
        <f t="shared" si="99"/>
        <v>0</v>
      </c>
      <c r="S42" s="252" t="str">
        <f t="shared" si="99"/>
        <v>ー</v>
      </c>
      <c r="T42" s="252" t="str">
        <f t="shared" si="99"/>
        <v>ー</v>
      </c>
      <c r="U42" s="252">
        <f t="shared" si="99"/>
        <v>0</v>
      </c>
      <c r="V42" s="252">
        <f t="shared" si="54"/>
        <v>0</v>
      </c>
      <c r="X42" s="205" t="s">
        <v>58</v>
      </c>
      <c r="Y42" s="251">
        <f>空調!D31*空調!O31*空調!Q31</f>
        <v>0</v>
      </c>
      <c r="Z42" s="252">
        <f t="shared" ref="Z42:AK42" si="100">IFERROR(IF($C19="事務所",$Y42*$D19*Z19*Z$4,$Y42*$D19*Z19*Z$5),"ー")</f>
        <v>0</v>
      </c>
      <c r="AA42" s="252">
        <f t="shared" si="100"/>
        <v>0</v>
      </c>
      <c r="AB42" s="252">
        <f t="shared" si="100"/>
        <v>0</v>
      </c>
      <c r="AC42" s="252" t="str">
        <f t="shared" si="100"/>
        <v>ー</v>
      </c>
      <c r="AD42" s="252" t="str">
        <f t="shared" si="100"/>
        <v>ー</v>
      </c>
      <c r="AE42" s="252" t="str">
        <f t="shared" si="100"/>
        <v>ー</v>
      </c>
      <c r="AF42" s="252" t="str">
        <f t="shared" si="100"/>
        <v>ー</v>
      </c>
      <c r="AG42" s="252">
        <f t="shared" si="100"/>
        <v>0</v>
      </c>
      <c r="AH42" s="252">
        <f t="shared" si="100"/>
        <v>0</v>
      </c>
      <c r="AI42" s="252">
        <f t="shared" si="100"/>
        <v>0</v>
      </c>
      <c r="AJ42" s="252">
        <f t="shared" si="100"/>
        <v>0</v>
      </c>
      <c r="AK42" s="252">
        <f t="shared" si="100"/>
        <v>0</v>
      </c>
      <c r="AL42" s="252">
        <f t="shared" si="56"/>
        <v>0</v>
      </c>
      <c r="AN42" s="205" t="s">
        <v>58</v>
      </c>
      <c r="AO42" s="251">
        <f>VLOOKUP("電気",係数!$B$3:$C$30,2,FALSE)</f>
        <v>8.64</v>
      </c>
      <c r="AP42" s="256">
        <f>VLOOKUP("電気",係数!$B$3:$H$30,7,FALSE)</f>
        <v>4.3100000000000001E-4</v>
      </c>
      <c r="AQ42" s="270">
        <f t="shared" si="57"/>
        <v>0</v>
      </c>
      <c r="AR42" s="270">
        <f t="shared" si="49"/>
        <v>0</v>
      </c>
      <c r="AS42" s="277"/>
      <c r="AU42" s="205" t="s">
        <v>58</v>
      </c>
      <c r="AV42" s="251">
        <f>空調!X31*空調!AC31*空調!L31</f>
        <v>0</v>
      </c>
      <c r="AW42" s="252">
        <f t="shared" si="96"/>
        <v>0</v>
      </c>
      <c r="AX42" s="252">
        <f t="shared" si="59"/>
        <v>0</v>
      </c>
      <c r="AY42" s="252">
        <f t="shared" si="60"/>
        <v>0</v>
      </c>
      <c r="AZ42" s="252">
        <f t="shared" si="61"/>
        <v>0</v>
      </c>
      <c r="BA42" s="252">
        <f t="shared" si="62"/>
        <v>0</v>
      </c>
      <c r="BB42" s="252">
        <f t="shared" si="63"/>
        <v>0</v>
      </c>
      <c r="BC42" s="252">
        <f t="shared" si="64"/>
        <v>0</v>
      </c>
      <c r="BD42" s="252">
        <f t="shared" si="65"/>
        <v>0</v>
      </c>
      <c r="BE42" s="252">
        <f t="shared" si="66"/>
        <v>0</v>
      </c>
      <c r="BF42" s="252" t="str">
        <f t="shared" si="67"/>
        <v>ー</v>
      </c>
      <c r="BG42" s="252" t="str">
        <f t="shared" si="68"/>
        <v>ー</v>
      </c>
      <c r="BH42" s="252">
        <f t="shared" si="69"/>
        <v>0</v>
      </c>
      <c r="BI42" s="252">
        <f t="shared" si="70"/>
        <v>0</v>
      </c>
      <c r="BK42" s="205" t="s">
        <v>58</v>
      </c>
      <c r="BL42" s="251">
        <f>空調!X31*空調!AF31*空調!Q31</f>
        <v>0</v>
      </c>
      <c r="BM42" s="252">
        <f t="shared" si="71"/>
        <v>0</v>
      </c>
      <c r="BN42" s="252">
        <f t="shared" si="72"/>
        <v>0</v>
      </c>
      <c r="BO42" s="252">
        <f t="shared" si="73"/>
        <v>0</v>
      </c>
      <c r="BP42" s="252" t="str">
        <f t="shared" si="74"/>
        <v>ー</v>
      </c>
      <c r="BQ42" s="252" t="str">
        <f t="shared" si="75"/>
        <v>ー</v>
      </c>
      <c r="BR42" s="252" t="str">
        <f t="shared" si="76"/>
        <v>ー</v>
      </c>
      <c r="BS42" s="252" t="str">
        <f t="shared" si="77"/>
        <v>ー</v>
      </c>
      <c r="BT42" s="252">
        <f t="shared" si="78"/>
        <v>0</v>
      </c>
      <c r="BU42" s="252">
        <f t="shared" si="79"/>
        <v>0</v>
      </c>
      <c r="BV42" s="252">
        <f t="shared" si="80"/>
        <v>0</v>
      </c>
      <c r="BW42" s="252">
        <f t="shared" si="81"/>
        <v>0</v>
      </c>
      <c r="BX42" s="252">
        <f t="shared" si="82"/>
        <v>0</v>
      </c>
      <c r="BY42" s="252">
        <f t="shared" si="83"/>
        <v>0</v>
      </c>
    </row>
    <row r="43" spans="2:77">
      <c r="B43" s="205" t="s">
        <v>59</v>
      </c>
      <c r="C43" s="251">
        <f>VLOOKUP("電気",係数!$B$3:$C$30,2,FALSE)</f>
        <v>8.64</v>
      </c>
      <c r="D43" s="276">
        <f>VLOOKUP("電気",係数!$B$3:$H$30,7,FALSE)</f>
        <v>4.3100000000000001E-4</v>
      </c>
      <c r="E43" s="270">
        <f t="shared" si="52"/>
        <v>0</v>
      </c>
      <c r="F43" s="270">
        <f t="shared" si="46"/>
        <v>0</v>
      </c>
      <c r="H43" s="205" t="s">
        <v>59</v>
      </c>
      <c r="I43" s="251">
        <f>空調!D32*空調!J32*空調!L32</f>
        <v>0</v>
      </c>
      <c r="J43" s="252">
        <f t="shared" ref="J43:U43" si="101">IFERROR(IF($C20="事務所",$I43*$D20*J20*J$4,$I43*$D20*J20*J$5),"ー")</f>
        <v>0</v>
      </c>
      <c r="K43" s="252">
        <f t="shared" si="101"/>
        <v>0</v>
      </c>
      <c r="L43" s="252">
        <f t="shared" si="101"/>
        <v>0</v>
      </c>
      <c r="M43" s="252">
        <f t="shared" si="101"/>
        <v>0</v>
      </c>
      <c r="N43" s="252">
        <f t="shared" si="101"/>
        <v>0</v>
      </c>
      <c r="O43" s="252">
        <f t="shared" si="101"/>
        <v>0</v>
      </c>
      <c r="P43" s="252">
        <f t="shared" si="101"/>
        <v>0</v>
      </c>
      <c r="Q43" s="252">
        <f t="shared" si="101"/>
        <v>0</v>
      </c>
      <c r="R43" s="252">
        <f t="shared" si="101"/>
        <v>0</v>
      </c>
      <c r="S43" s="252" t="str">
        <f t="shared" si="101"/>
        <v>ー</v>
      </c>
      <c r="T43" s="252" t="str">
        <f t="shared" si="101"/>
        <v>ー</v>
      </c>
      <c r="U43" s="252">
        <f t="shared" si="101"/>
        <v>0</v>
      </c>
      <c r="V43" s="252">
        <f t="shared" si="54"/>
        <v>0</v>
      </c>
      <c r="X43" s="205" t="s">
        <v>59</v>
      </c>
      <c r="Y43" s="251">
        <f>空調!D32*空調!O32*空調!Q32</f>
        <v>0</v>
      </c>
      <c r="Z43" s="252">
        <f t="shared" ref="Z43:AK43" si="102">IFERROR(IF($C20="事務所",$Y43*$D20*Z20*Z$4,$Y43*$D20*Z20*Z$5),"ー")</f>
        <v>0</v>
      </c>
      <c r="AA43" s="252">
        <f t="shared" si="102"/>
        <v>0</v>
      </c>
      <c r="AB43" s="252">
        <f t="shared" si="102"/>
        <v>0</v>
      </c>
      <c r="AC43" s="252" t="str">
        <f t="shared" si="102"/>
        <v>ー</v>
      </c>
      <c r="AD43" s="252" t="str">
        <f t="shared" si="102"/>
        <v>ー</v>
      </c>
      <c r="AE43" s="252" t="str">
        <f t="shared" si="102"/>
        <v>ー</v>
      </c>
      <c r="AF43" s="252" t="str">
        <f t="shared" si="102"/>
        <v>ー</v>
      </c>
      <c r="AG43" s="252">
        <f t="shared" si="102"/>
        <v>0</v>
      </c>
      <c r="AH43" s="252">
        <f t="shared" si="102"/>
        <v>0</v>
      </c>
      <c r="AI43" s="252">
        <f t="shared" si="102"/>
        <v>0</v>
      </c>
      <c r="AJ43" s="252">
        <f t="shared" si="102"/>
        <v>0</v>
      </c>
      <c r="AK43" s="252">
        <f t="shared" si="102"/>
        <v>0</v>
      </c>
      <c r="AL43" s="252">
        <f t="shared" si="56"/>
        <v>0</v>
      </c>
      <c r="AN43" s="205" t="s">
        <v>59</v>
      </c>
      <c r="AO43" s="251">
        <f>VLOOKUP("電気",係数!$B$3:$C$30,2,FALSE)</f>
        <v>8.64</v>
      </c>
      <c r="AP43" s="256">
        <f>VLOOKUP("電気",係数!$B$3:$H$30,7,FALSE)</f>
        <v>4.3100000000000001E-4</v>
      </c>
      <c r="AQ43" s="270">
        <f t="shared" si="57"/>
        <v>0</v>
      </c>
      <c r="AR43" s="270">
        <f t="shared" si="49"/>
        <v>0</v>
      </c>
      <c r="AS43" s="277"/>
      <c r="AU43" s="205" t="s">
        <v>59</v>
      </c>
      <c r="AV43" s="251">
        <f>空調!X32*空調!AC32*空調!L32</f>
        <v>0</v>
      </c>
      <c r="AW43" s="252">
        <f t="shared" si="96"/>
        <v>0</v>
      </c>
      <c r="AX43" s="252">
        <f t="shared" si="59"/>
        <v>0</v>
      </c>
      <c r="AY43" s="252">
        <f t="shared" si="60"/>
        <v>0</v>
      </c>
      <c r="AZ43" s="252">
        <f t="shared" si="61"/>
        <v>0</v>
      </c>
      <c r="BA43" s="252">
        <f t="shared" si="62"/>
        <v>0</v>
      </c>
      <c r="BB43" s="252">
        <f t="shared" si="63"/>
        <v>0</v>
      </c>
      <c r="BC43" s="252">
        <f t="shared" si="64"/>
        <v>0</v>
      </c>
      <c r="BD43" s="252">
        <f t="shared" si="65"/>
        <v>0</v>
      </c>
      <c r="BE43" s="252">
        <f t="shared" si="66"/>
        <v>0</v>
      </c>
      <c r="BF43" s="252" t="str">
        <f t="shared" si="67"/>
        <v>ー</v>
      </c>
      <c r="BG43" s="252" t="str">
        <f t="shared" si="68"/>
        <v>ー</v>
      </c>
      <c r="BH43" s="252">
        <f t="shared" si="69"/>
        <v>0</v>
      </c>
      <c r="BI43" s="252">
        <f t="shared" si="70"/>
        <v>0</v>
      </c>
      <c r="BK43" s="205" t="s">
        <v>59</v>
      </c>
      <c r="BL43" s="251">
        <f>空調!X32*空調!AF32*空調!Q32</f>
        <v>0</v>
      </c>
      <c r="BM43" s="252">
        <f t="shared" si="71"/>
        <v>0</v>
      </c>
      <c r="BN43" s="252">
        <f t="shared" si="72"/>
        <v>0</v>
      </c>
      <c r="BO43" s="252">
        <f t="shared" si="73"/>
        <v>0</v>
      </c>
      <c r="BP43" s="252" t="str">
        <f t="shared" si="74"/>
        <v>ー</v>
      </c>
      <c r="BQ43" s="252" t="str">
        <f t="shared" si="75"/>
        <v>ー</v>
      </c>
      <c r="BR43" s="252" t="str">
        <f t="shared" si="76"/>
        <v>ー</v>
      </c>
      <c r="BS43" s="252" t="str">
        <f t="shared" si="77"/>
        <v>ー</v>
      </c>
      <c r="BT43" s="252">
        <f t="shared" si="78"/>
        <v>0</v>
      </c>
      <c r="BU43" s="252">
        <f t="shared" si="79"/>
        <v>0</v>
      </c>
      <c r="BV43" s="252">
        <f t="shared" si="80"/>
        <v>0</v>
      </c>
      <c r="BW43" s="252">
        <f t="shared" si="81"/>
        <v>0</v>
      </c>
      <c r="BX43" s="252">
        <f t="shared" si="82"/>
        <v>0</v>
      </c>
      <c r="BY43" s="252">
        <f t="shared" si="83"/>
        <v>0</v>
      </c>
    </row>
    <row r="44" spans="2:77">
      <c r="B44" s="205" t="s">
        <v>60</v>
      </c>
      <c r="C44" s="251">
        <f>VLOOKUP("電気",係数!$B$3:$C$30,2,FALSE)</f>
        <v>8.64</v>
      </c>
      <c r="D44" s="276">
        <f>VLOOKUP("電気",係数!$B$3:$H$30,7,FALSE)</f>
        <v>4.3100000000000001E-4</v>
      </c>
      <c r="E44" s="270">
        <f t="shared" si="52"/>
        <v>0</v>
      </c>
      <c r="F44" s="270">
        <f t="shared" si="46"/>
        <v>0</v>
      </c>
      <c r="H44" s="205" t="s">
        <v>60</v>
      </c>
      <c r="I44" s="251">
        <f>空調!D33*空調!J33*空調!L33</f>
        <v>0</v>
      </c>
      <c r="J44" s="252">
        <f t="shared" ref="J44:U44" si="103">IFERROR(IF($C21="事務所",$I44*$D21*J21*J$4,$I44*$D21*J21*J$5),"ー")</f>
        <v>0</v>
      </c>
      <c r="K44" s="252">
        <f t="shared" si="103"/>
        <v>0</v>
      </c>
      <c r="L44" s="252">
        <f t="shared" si="103"/>
        <v>0</v>
      </c>
      <c r="M44" s="252">
        <f t="shared" si="103"/>
        <v>0</v>
      </c>
      <c r="N44" s="252">
        <f t="shared" si="103"/>
        <v>0</v>
      </c>
      <c r="O44" s="252">
        <f t="shared" si="103"/>
        <v>0</v>
      </c>
      <c r="P44" s="252">
        <f t="shared" si="103"/>
        <v>0</v>
      </c>
      <c r="Q44" s="252">
        <f t="shared" si="103"/>
        <v>0</v>
      </c>
      <c r="R44" s="252">
        <f t="shared" si="103"/>
        <v>0</v>
      </c>
      <c r="S44" s="252" t="str">
        <f t="shared" si="103"/>
        <v>ー</v>
      </c>
      <c r="T44" s="252" t="str">
        <f t="shared" si="103"/>
        <v>ー</v>
      </c>
      <c r="U44" s="252">
        <f t="shared" si="103"/>
        <v>0</v>
      </c>
      <c r="V44" s="252">
        <f t="shared" si="54"/>
        <v>0</v>
      </c>
      <c r="X44" s="205" t="s">
        <v>60</v>
      </c>
      <c r="Y44" s="251">
        <f>空調!D33*空調!O33*空調!Q33</f>
        <v>0</v>
      </c>
      <c r="Z44" s="252">
        <f t="shared" ref="Z44:AK44" si="104">IFERROR(IF($C21="事務所",$Y44*$D21*Z21*Z$4,$Y44*$D21*Z21*Z$5),"ー")</f>
        <v>0</v>
      </c>
      <c r="AA44" s="252">
        <f t="shared" si="104"/>
        <v>0</v>
      </c>
      <c r="AB44" s="252">
        <f t="shared" si="104"/>
        <v>0</v>
      </c>
      <c r="AC44" s="252" t="str">
        <f t="shared" si="104"/>
        <v>ー</v>
      </c>
      <c r="AD44" s="252" t="str">
        <f t="shared" si="104"/>
        <v>ー</v>
      </c>
      <c r="AE44" s="252" t="str">
        <f t="shared" si="104"/>
        <v>ー</v>
      </c>
      <c r="AF44" s="252" t="str">
        <f t="shared" si="104"/>
        <v>ー</v>
      </c>
      <c r="AG44" s="252">
        <f t="shared" si="104"/>
        <v>0</v>
      </c>
      <c r="AH44" s="252">
        <f t="shared" si="104"/>
        <v>0</v>
      </c>
      <c r="AI44" s="252">
        <f t="shared" si="104"/>
        <v>0</v>
      </c>
      <c r="AJ44" s="252">
        <f t="shared" si="104"/>
        <v>0</v>
      </c>
      <c r="AK44" s="252">
        <f t="shared" si="104"/>
        <v>0</v>
      </c>
      <c r="AL44" s="252">
        <f t="shared" si="56"/>
        <v>0</v>
      </c>
      <c r="AN44" s="205" t="s">
        <v>60</v>
      </c>
      <c r="AO44" s="251">
        <f>VLOOKUP("電気",係数!$B$3:$C$30,2,FALSE)</f>
        <v>8.64</v>
      </c>
      <c r="AP44" s="256">
        <f>VLOOKUP("電気",係数!$B$3:$H$30,7,FALSE)</f>
        <v>4.3100000000000001E-4</v>
      </c>
      <c r="AQ44" s="270">
        <f t="shared" si="57"/>
        <v>0</v>
      </c>
      <c r="AR44" s="270">
        <f t="shared" si="49"/>
        <v>0</v>
      </c>
      <c r="AS44" s="277"/>
      <c r="AU44" s="205" t="s">
        <v>60</v>
      </c>
      <c r="AV44" s="251">
        <f>空調!X33*空調!AC33*空調!L33</f>
        <v>0</v>
      </c>
      <c r="AW44" s="252">
        <f t="shared" si="96"/>
        <v>0</v>
      </c>
      <c r="AX44" s="252">
        <f t="shared" si="59"/>
        <v>0</v>
      </c>
      <c r="AY44" s="252">
        <f t="shared" si="60"/>
        <v>0</v>
      </c>
      <c r="AZ44" s="252">
        <f t="shared" si="61"/>
        <v>0</v>
      </c>
      <c r="BA44" s="252">
        <f t="shared" si="62"/>
        <v>0</v>
      </c>
      <c r="BB44" s="252">
        <f t="shared" si="63"/>
        <v>0</v>
      </c>
      <c r="BC44" s="252">
        <f t="shared" si="64"/>
        <v>0</v>
      </c>
      <c r="BD44" s="252">
        <f t="shared" si="65"/>
        <v>0</v>
      </c>
      <c r="BE44" s="252">
        <f t="shared" si="66"/>
        <v>0</v>
      </c>
      <c r="BF44" s="252" t="str">
        <f t="shared" si="67"/>
        <v>ー</v>
      </c>
      <c r="BG44" s="252" t="str">
        <f t="shared" si="68"/>
        <v>ー</v>
      </c>
      <c r="BH44" s="252">
        <f t="shared" si="69"/>
        <v>0</v>
      </c>
      <c r="BI44" s="252">
        <f t="shared" si="70"/>
        <v>0</v>
      </c>
      <c r="BK44" s="205" t="s">
        <v>60</v>
      </c>
      <c r="BL44" s="251">
        <f>空調!X33*空調!AF33*空調!Q33</f>
        <v>0</v>
      </c>
      <c r="BM44" s="252">
        <f t="shared" si="71"/>
        <v>0</v>
      </c>
      <c r="BN44" s="252">
        <f t="shared" si="72"/>
        <v>0</v>
      </c>
      <c r="BO44" s="252">
        <f t="shared" si="73"/>
        <v>0</v>
      </c>
      <c r="BP44" s="252" t="str">
        <f t="shared" si="74"/>
        <v>ー</v>
      </c>
      <c r="BQ44" s="252" t="str">
        <f t="shared" si="75"/>
        <v>ー</v>
      </c>
      <c r="BR44" s="252" t="str">
        <f t="shared" si="76"/>
        <v>ー</v>
      </c>
      <c r="BS44" s="252" t="str">
        <f t="shared" si="77"/>
        <v>ー</v>
      </c>
      <c r="BT44" s="252">
        <f t="shared" si="78"/>
        <v>0</v>
      </c>
      <c r="BU44" s="252">
        <f t="shared" si="79"/>
        <v>0</v>
      </c>
      <c r="BV44" s="252">
        <f t="shared" si="80"/>
        <v>0</v>
      </c>
      <c r="BW44" s="252">
        <f t="shared" si="81"/>
        <v>0</v>
      </c>
      <c r="BX44" s="252">
        <f t="shared" si="82"/>
        <v>0</v>
      </c>
      <c r="BY44" s="252">
        <f t="shared" si="83"/>
        <v>0</v>
      </c>
    </row>
    <row r="45" spans="2:77">
      <c r="B45" s="205" t="s">
        <v>61</v>
      </c>
      <c r="C45" s="251">
        <f>VLOOKUP("電気",係数!$B$3:$C$30,2,FALSE)</f>
        <v>8.64</v>
      </c>
      <c r="D45" s="276">
        <f>VLOOKUP("電気",係数!$B$3:$H$30,7,FALSE)</f>
        <v>4.3100000000000001E-4</v>
      </c>
      <c r="E45" s="270">
        <f t="shared" si="52"/>
        <v>0</v>
      </c>
      <c r="F45" s="270">
        <f t="shared" si="46"/>
        <v>0</v>
      </c>
      <c r="H45" s="205" t="s">
        <v>61</v>
      </c>
      <c r="I45" s="251">
        <f>空調!D34*空調!J34*空調!L34</f>
        <v>0</v>
      </c>
      <c r="J45" s="252">
        <f t="shared" ref="J45:U45" si="105">IFERROR(IF($C22="事務所",$I45*$D22*J22*J$4,$I45*$D22*J22*J$5),"ー")</f>
        <v>0</v>
      </c>
      <c r="K45" s="252">
        <f t="shared" si="105"/>
        <v>0</v>
      </c>
      <c r="L45" s="252">
        <f t="shared" si="105"/>
        <v>0</v>
      </c>
      <c r="M45" s="252">
        <f t="shared" si="105"/>
        <v>0</v>
      </c>
      <c r="N45" s="252">
        <f t="shared" si="105"/>
        <v>0</v>
      </c>
      <c r="O45" s="252">
        <f t="shared" si="105"/>
        <v>0</v>
      </c>
      <c r="P45" s="252">
        <f t="shared" si="105"/>
        <v>0</v>
      </c>
      <c r="Q45" s="252">
        <f t="shared" si="105"/>
        <v>0</v>
      </c>
      <c r="R45" s="252">
        <f t="shared" si="105"/>
        <v>0</v>
      </c>
      <c r="S45" s="252" t="str">
        <f t="shared" si="105"/>
        <v>ー</v>
      </c>
      <c r="T45" s="252" t="str">
        <f t="shared" si="105"/>
        <v>ー</v>
      </c>
      <c r="U45" s="252">
        <f t="shared" si="105"/>
        <v>0</v>
      </c>
      <c r="V45" s="252">
        <f t="shared" si="54"/>
        <v>0</v>
      </c>
      <c r="X45" s="205" t="s">
        <v>61</v>
      </c>
      <c r="Y45" s="251">
        <f>空調!D34*空調!O34*空調!Q34</f>
        <v>0</v>
      </c>
      <c r="Z45" s="252">
        <f t="shared" ref="Z45:AK45" si="106">IFERROR(IF($C22="事務所",$Y45*$D22*Z22*Z$4,$Y45*$D22*Z22*Z$5),"ー")</f>
        <v>0</v>
      </c>
      <c r="AA45" s="252">
        <f t="shared" si="106"/>
        <v>0</v>
      </c>
      <c r="AB45" s="252">
        <f t="shared" si="106"/>
        <v>0</v>
      </c>
      <c r="AC45" s="252" t="str">
        <f t="shared" si="106"/>
        <v>ー</v>
      </c>
      <c r="AD45" s="252" t="str">
        <f t="shared" si="106"/>
        <v>ー</v>
      </c>
      <c r="AE45" s="252" t="str">
        <f t="shared" si="106"/>
        <v>ー</v>
      </c>
      <c r="AF45" s="252" t="str">
        <f t="shared" si="106"/>
        <v>ー</v>
      </c>
      <c r="AG45" s="252">
        <f t="shared" si="106"/>
        <v>0</v>
      </c>
      <c r="AH45" s="252">
        <f t="shared" si="106"/>
        <v>0</v>
      </c>
      <c r="AI45" s="252">
        <f t="shared" si="106"/>
        <v>0</v>
      </c>
      <c r="AJ45" s="252">
        <f t="shared" si="106"/>
        <v>0</v>
      </c>
      <c r="AK45" s="252">
        <f t="shared" si="106"/>
        <v>0</v>
      </c>
      <c r="AL45" s="252">
        <f t="shared" si="56"/>
        <v>0</v>
      </c>
      <c r="AN45" s="205" t="s">
        <v>61</v>
      </c>
      <c r="AO45" s="251">
        <f>VLOOKUP("電気",係数!$B$3:$C$30,2,FALSE)</f>
        <v>8.64</v>
      </c>
      <c r="AP45" s="256">
        <f>VLOOKUP("電気",係数!$B$3:$H$30,7,FALSE)</f>
        <v>4.3100000000000001E-4</v>
      </c>
      <c r="AQ45" s="270">
        <f t="shared" si="57"/>
        <v>0</v>
      </c>
      <c r="AR45" s="270">
        <f t="shared" si="49"/>
        <v>0</v>
      </c>
      <c r="AS45" s="277"/>
      <c r="AU45" s="205" t="s">
        <v>61</v>
      </c>
      <c r="AV45" s="251">
        <f>空調!X34*空調!AC34*空調!L34</f>
        <v>0</v>
      </c>
      <c r="AW45" s="252">
        <f t="shared" si="96"/>
        <v>0</v>
      </c>
      <c r="AX45" s="252">
        <f t="shared" si="59"/>
        <v>0</v>
      </c>
      <c r="AY45" s="252">
        <f t="shared" si="60"/>
        <v>0</v>
      </c>
      <c r="AZ45" s="252">
        <f t="shared" si="61"/>
        <v>0</v>
      </c>
      <c r="BA45" s="252">
        <f t="shared" si="62"/>
        <v>0</v>
      </c>
      <c r="BB45" s="252">
        <f t="shared" si="63"/>
        <v>0</v>
      </c>
      <c r="BC45" s="252">
        <f t="shared" si="64"/>
        <v>0</v>
      </c>
      <c r="BD45" s="252">
        <f t="shared" si="65"/>
        <v>0</v>
      </c>
      <c r="BE45" s="252">
        <f t="shared" si="66"/>
        <v>0</v>
      </c>
      <c r="BF45" s="252" t="str">
        <f t="shared" si="67"/>
        <v>ー</v>
      </c>
      <c r="BG45" s="252" t="str">
        <f t="shared" si="68"/>
        <v>ー</v>
      </c>
      <c r="BH45" s="252">
        <f t="shared" si="69"/>
        <v>0</v>
      </c>
      <c r="BI45" s="252">
        <f t="shared" si="70"/>
        <v>0</v>
      </c>
      <c r="BK45" s="205" t="s">
        <v>61</v>
      </c>
      <c r="BL45" s="251">
        <f>空調!X34*空調!AF34*空調!Q34</f>
        <v>0</v>
      </c>
      <c r="BM45" s="252">
        <f t="shared" si="71"/>
        <v>0</v>
      </c>
      <c r="BN45" s="252">
        <f t="shared" si="72"/>
        <v>0</v>
      </c>
      <c r="BO45" s="252">
        <f t="shared" si="73"/>
        <v>0</v>
      </c>
      <c r="BP45" s="252" t="str">
        <f t="shared" si="74"/>
        <v>ー</v>
      </c>
      <c r="BQ45" s="252" t="str">
        <f t="shared" si="75"/>
        <v>ー</v>
      </c>
      <c r="BR45" s="252" t="str">
        <f t="shared" si="76"/>
        <v>ー</v>
      </c>
      <c r="BS45" s="252" t="str">
        <f t="shared" si="77"/>
        <v>ー</v>
      </c>
      <c r="BT45" s="252">
        <f t="shared" si="78"/>
        <v>0</v>
      </c>
      <c r="BU45" s="252">
        <f t="shared" si="79"/>
        <v>0</v>
      </c>
      <c r="BV45" s="252">
        <f t="shared" si="80"/>
        <v>0</v>
      </c>
      <c r="BW45" s="252">
        <f t="shared" si="81"/>
        <v>0</v>
      </c>
      <c r="BX45" s="252">
        <f t="shared" si="82"/>
        <v>0</v>
      </c>
      <c r="BY45" s="252">
        <f t="shared" si="83"/>
        <v>0</v>
      </c>
    </row>
    <row r="46" spans="2:77">
      <c r="B46" s="205" t="s">
        <v>62</v>
      </c>
      <c r="C46" s="251">
        <f>VLOOKUP("電気",係数!$B$3:$C$30,2,FALSE)</f>
        <v>8.64</v>
      </c>
      <c r="D46" s="276">
        <f>VLOOKUP("電気",係数!$B$3:$H$30,7,FALSE)</f>
        <v>4.3100000000000001E-4</v>
      </c>
      <c r="E46" s="270">
        <f t="shared" si="52"/>
        <v>0</v>
      </c>
      <c r="F46" s="270">
        <f t="shared" si="46"/>
        <v>0</v>
      </c>
      <c r="H46" s="205" t="s">
        <v>62</v>
      </c>
      <c r="I46" s="251">
        <f>空調!D35*空調!J35*空調!L35</f>
        <v>0</v>
      </c>
      <c r="J46" s="252">
        <f t="shared" ref="J46:U46" si="107">IFERROR(IF($C23="事務所",$I46*$D23*J23*J$4,$I46*$D23*J23*J$5),"ー")</f>
        <v>0</v>
      </c>
      <c r="K46" s="252">
        <f t="shared" si="107"/>
        <v>0</v>
      </c>
      <c r="L46" s="252">
        <f t="shared" si="107"/>
        <v>0</v>
      </c>
      <c r="M46" s="252">
        <f t="shared" si="107"/>
        <v>0</v>
      </c>
      <c r="N46" s="252">
        <f t="shared" si="107"/>
        <v>0</v>
      </c>
      <c r="O46" s="252">
        <f t="shared" si="107"/>
        <v>0</v>
      </c>
      <c r="P46" s="252">
        <f t="shared" si="107"/>
        <v>0</v>
      </c>
      <c r="Q46" s="252">
        <f t="shared" si="107"/>
        <v>0</v>
      </c>
      <c r="R46" s="252">
        <f t="shared" si="107"/>
        <v>0</v>
      </c>
      <c r="S46" s="252" t="str">
        <f t="shared" si="107"/>
        <v>ー</v>
      </c>
      <c r="T46" s="252" t="str">
        <f t="shared" si="107"/>
        <v>ー</v>
      </c>
      <c r="U46" s="252">
        <f t="shared" si="107"/>
        <v>0</v>
      </c>
      <c r="V46" s="252">
        <f t="shared" si="54"/>
        <v>0</v>
      </c>
      <c r="X46" s="205" t="s">
        <v>62</v>
      </c>
      <c r="Y46" s="251">
        <f>空調!D35*空調!O35*空調!Q35</f>
        <v>0</v>
      </c>
      <c r="Z46" s="252">
        <f t="shared" ref="Z46:AK46" si="108">IFERROR(IF($C23="事務所",$Y46*$D23*Z23*Z$4,$Y46*$D23*Z23*Z$5),"ー")</f>
        <v>0</v>
      </c>
      <c r="AA46" s="252">
        <f t="shared" si="108"/>
        <v>0</v>
      </c>
      <c r="AB46" s="252">
        <f t="shared" si="108"/>
        <v>0</v>
      </c>
      <c r="AC46" s="252" t="str">
        <f t="shared" si="108"/>
        <v>ー</v>
      </c>
      <c r="AD46" s="252" t="str">
        <f t="shared" si="108"/>
        <v>ー</v>
      </c>
      <c r="AE46" s="252" t="str">
        <f t="shared" si="108"/>
        <v>ー</v>
      </c>
      <c r="AF46" s="252" t="str">
        <f t="shared" si="108"/>
        <v>ー</v>
      </c>
      <c r="AG46" s="252">
        <f t="shared" si="108"/>
        <v>0</v>
      </c>
      <c r="AH46" s="252">
        <f t="shared" si="108"/>
        <v>0</v>
      </c>
      <c r="AI46" s="252">
        <f t="shared" si="108"/>
        <v>0</v>
      </c>
      <c r="AJ46" s="252">
        <f t="shared" si="108"/>
        <v>0</v>
      </c>
      <c r="AK46" s="252">
        <f t="shared" si="108"/>
        <v>0</v>
      </c>
      <c r="AL46" s="252">
        <f t="shared" si="56"/>
        <v>0</v>
      </c>
      <c r="AN46" s="205" t="s">
        <v>62</v>
      </c>
      <c r="AO46" s="251">
        <f>VLOOKUP("電気",係数!$B$3:$C$30,2,FALSE)</f>
        <v>8.64</v>
      </c>
      <c r="AP46" s="256">
        <f>VLOOKUP("電気",係数!$B$3:$H$30,7,FALSE)</f>
        <v>4.3100000000000001E-4</v>
      </c>
      <c r="AQ46" s="270">
        <f t="shared" si="57"/>
        <v>0</v>
      </c>
      <c r="AR46" s="270">
        <f t="shared" si="49"/>
        <v>0</v>
      </c>
      <c r="AS46" s="277"/>
      <c r="AU46" s="205" t="s">
        <v>62</v>
      </c>
      <c r="AV46" s="251">
        <f>空調!X35*空調!AC35*空調!L35</f>
        <v>0</v>
      </c>
      <c r="AW46" s="252">
        <f t="shared" si="96"/>
        <v>0</v>
      </c>
      <c r="AX46" s="252">
        <f t="shared" si="59"/>
        <v>0</v>
      </c>
      <c r="AY46" s="252">
        <f t="shared" si="60"/>
        <v>0</v>
      </c>
      <c r="AZ46" s="252">
        <f t="shared" si="61"/>
        <v>0</v>
      </c>
      <c r="BA46" s="252">
        <f t="shared" si="62"/>
        <v>0</v>
      </c>
      <c r="BB46" s="252">
        <f t="shared" si="63"/>
        <v>0</v>
      </c>
      <c r="BC46" s="252">
        <f t="shared" si="64"/>
        <v>0</v>
      </c>
      <c r="BD46" s="252">
        <f t="shared" si="65"/>
        <v>0</v>
      </c>
      <c r="BE46" s="252">
        <f t="shared" si="66"/>
        <v>0</v>
      </c>
      <c r="BF46" s="252" t="str">
        <f t="shared" si="67"/>
        <v>ー</v>
      </c>
      <c r="BG46" s="252" t="str">
        <f t="shared" si="68"/>
        <v>ー</v>
      </c>
      <c r="BH46" s="252">
        <f t="shared" si="69"/>
        <v>0</v>
      </c>
      <c r="BI46" s="252">
        <f t="shared" si="70"/>
        <v>0</v>
      </c>
      <c r="BK46" s="205" t="s">
        <v>62</v>
      </c>
      <c r="BL46" s="251">
        <f>空調!X35*空調!AF35*空調!Q35</f>
        <v>0</v>
      </c>
      <c r="BM46" s="252">
        <f t="shared" si="71"/>
        <v>0</v>
      </c>
      <c r="BN46" s="252">
        <f t="shared" si="72"/>
        <v>0</v>
      </c>
      <c r="BO46" s="252">
        <f t="shared" si="73"/>
        <v>0</v>
      </c>
      <c r="BP46" s="252" t="str">
        <f t="shared" si="74"/>
        <v>ー</v>
      </c>
      <c r="BQ46" s="252" t="str">
        <f t="shared" si="75"/>
        <v>ー</v>
      </c>
      <c r="BR46" s="252" t="str">
        <f t="shared" si="76"/>
        <v>ー</v>
      </c>
      <c r="BS46" s="252" t="str">
        <f t="shared" si="77"/>
        <v>ー</v>
      </c>
      <c r="BT46" s="252">
        <f t="shared" si="78"/>
        <v>0</v>
      </c>
      <c r="BU46" s="252">
        <f t="shared" si="79"/>
        <v>0</v>
      </c>
      <c r="BV46" s="252">
        <f t="shared" si="80"/>
        <v>0</v>
      </c>
      <c r="BW46" s="252">
        <f t="shared" si="81"/>
        <v>0</v>
      </c>
      <c r="BX46" s="252">
        <f t="shared" si="82"/>
        <v>0</v>
      </c>
      <c r="BY46" s="252">
        <f t="shared" si="83"/>
        <v>0</v>
      </c>
    </row>
    <row r="47" spans="2:77">
      <c r="B47" s="205" t="s">
        <v>63</v>
      </c>
      <c r="C47" s="251">
        <f>VLOOKUP("電気",係数!$B$3:$C$30,2,FALSE)</f>
        <v>8.64</v>
      </c>
      <c r="D47" s="276">
        <f>VLOOKUP("電気",係数!$B$3:$H$30,7,FALSE)</f>
        <v>4.3100000000000001E-4</v>
      </c>
      <c r="E47" s="270">
        <f t="shared" si="52"/>
        <v>0</v>
      </c>
      <c r="F47" s="270">
        <f t="shared" si="46"/>
        <v>0</v>
      </c>
      <c r="H47" s="205" t="s">
        <v>63</v>
      </c>
      <c r="I47" s="251">
        <f>空調!D36*空調!J36*空調!L36</f>
        <v>0</v>
      </c>
      <c r="J47" s="252">
        <f t="shared" ref="J47:U47" si="109">IFERROR(IF($C24="事務所",$I47*$D24*J24*J$4,$I47*$D24*J24*J$5),"ー")</f>
        <v>0</v>
      </c>
      <c r="K47" s="252">
        <f t="shared" si="109"/>
        <v>0</v>
      </c>
      <c r="L47" s="252">
        <f t="shared" si="109"/>
        <v>0</v>
      </c>
      <c r="M47" s="252">
        <f t="shared" si="109"/>
        <v>0</v>
      </c>
      <c r="N47" s="252">
        <f t="shared" si="109"/>
        <v>0</v>
      </c>
      <c r="O47" s="252">
        <f t="shared" si="109"/>
        <v>0</v>
      </c>
      <c r="P47" s="252">
        <f t="shared" si="109"/>
        <v>0</v>
      </c>
      <c r="Q47" s="252">
        <f t="shared" si="109"/>
        <v>0</v>
      </c>
      <c r="R47" s="252">
        <f t="shared" si="109"/>
        <v>0</v>
      </c>
      <c r="S47" s="252" t="str">
        <f t="shared" si="109"/>
        <v>ー</v>
      </c>
      <c r="T47" s="252" t="str">
        <f t="shared" si="109"/>
        <v>ー</v>
      </c>
      <c r="U47" s="252">
        <f t="shared" si="109"/>
        <v>0</v>
      </c>
      <c r="V47" s="252">
        <f t="shared" si="54"/>
        <v>0</v>
      </c>
      <c r="X47" s="205" t="s">
        <v>63</v>
      </c>
      <c r="Y47" s="251">
        <f>空調!D36*空調!O36*空調!Q36</f>
        <v>0</v>
      </c>
      <c r="Z47" s="252">
        <f t="shared" ref="Z47:AK47" si="110">IFERROR(IF($C24="事務所",$Y47*$D24*Z24*Z$4,$Y47*$D24*Z24*Z$5),"ー")</f>
        <v>0</v>
      </c>
      <c r="AA47" s="252">
        <f t="shared" si="110"/>
        <v>0</v>
      </c>
      <c r="AB47" s="252">
        <f t="shared" si="110"/>
        <v>0</v>
      </c>
      <c r="AC47" s="252" t="str">
        <f t="shared" si="110"/>
        <v>ー</v>
      </c>
      <c r="AD47" s="252" t="str">
        <f t="shared" si="110"/>
        <v>ー</v>
      </c>
      <c r="AE47" s="252" t="str">
        <f t="shared" si="110"/>
        <v>ー</v>
      </c>
      <c r="AF47" s="252" t="str">
        <f t="shared" si="110"/>
        <v>ー</v>
      </c>
      <c r="AG47" s="252">
        <f t="shared" si="110"/>
        <v>0</v>
      </c>
      <c r="AH47" s="252">
        <f t="shared" si="110"/>
        <v>0</v>
      </c>
      <c r="AI47" s="252">
        <f t="shared" si="110"/>
        <v>0</v>
      </c>
      <c r="AJ47" s="252">
        <f t="shared" si="110"/>
        <v>0</v>
      </c>
      <c r="AK47" s="252">
        <f t="shared" si="110"/>
        <v>0</v>
      </c>
      <c r="AL47" s="252">
        <f t="shared" si="56"/>
        <v>0</v>
      </c>
      <c r="AN47" s="205" t="s">
        <v>63</v>
      </c>
      <c r="AO47" s="251">
        <f>VLOOKUP("電気",係数!$B$3:$C$30,2,FALSE)</f>
        <v>8.64</v>
      </c>
      <c r="AP47" s="256">
        <f>VLOOKUP("電気",係数!$B$3:$H$30,7,FALSE)</f>
        <v>4.3100000000000001E-4</v>
      </c>
      <c r="AQ47" s="270">
        <f t="shared" si="57"/>
        <v>0</v>
      </c>
      <c r="AR47" s="270">
        <f t="shared" si="49"/>
        <v>0</v>
      </c>
      <c r="AS47" s="277"/>
      <c r="AU47" s="205" t="s">
        <v>63</v>
      </c>
      <c r="AV47" s="251">
        <f>空調!X36*空調!AC36*空調!L36</f>
        <v>0</v>
      </c>
      <c r="AW47" s="252">
        <f t="shared" si="96"/>
        <v>0</v>
      </c>
      <c r="AX47" s="252">
        <f t="shared" si="59"/>
        <v>0</v>
      </c>
      <c r="AY47" s="252">
        <f t="shared" si="60"/>
        <v>0</v>
      </c>
      <c r="AZ47" s="252">
        <f t="shared" si="61"/>
        <v>0</v>
      </c>
      <c r="BA47" s="252">
        <f t="shared" si="62"/>
        <v>0</v>
      </c>
      <c r="BB47" s="252">
        <f t="shared" si="63"/>
        <v>0</v>
      </c>
      <c r="BC47" s="252">
        <f t="shared" si="64"/>
        <v>0</v>
      </c>
      <c r="BD47" s="252">
        <f t="shared" si="65"/>
        <v>0</v>
      </c>
      <c r="BE47" s="252">
        <f t="shared" si="66"/>
        <v>0</v>
      </c>
      <c r="BF47" s="252" t="str">
        <f t="shared" si="67"/>
        <v>ー</v>
      </c>
      <c r="BG47" s="252" t="str">
        <f t="shared" si="68"/>
        <v>ー</v>
      </c>
      <c r="BH47" s="252">
        <f t="shared" si="69"/>
        <v>0</v>
      </c>
      <c r="BI47" s="252">
        <f t="shared" si="70"/>
        <v>0</v>
      </c>
      <c r="BK47" s="205" t="s">
        <v>63</v>
      </c>
      <c r="BL47" s="251">
        <f>空調!X36*空調!AF36*空調!Q36</f>
        <v>0</v>
      </c>
      <c r="BM47" s="252">
        <f t="shared" si="71"/>
        <v>0</v>
      </c>
      <c r="BN47" s="252">
        <f t="shared" si="72"/>
        <v>0</v>
      </c>
      <c r="BO47" s="252">
        <f t="shared" si="73"/>
        <v>0</v>
      </c>
      <c r="BP47" s="252" t="str">
        <f t="shared" si="74"/>
        <v>ー</v>
      </c>
      <c r="BQ47" s="252" t="str">
        <f t="shared" si="75"/>
        <v>ー</v>
      </c>
      <c r="BR47" s="252" t="str">
        <f t="shared" si="76"/>
        <v>ー</v>
      </c>
      <c r="BS47" s="252" t="str">
        <f t="shared" si="77"/>
        <v>ー</v>
      </c>
      <c r="BT47" s="252">
        <f t="shared" si="78"/>
        <v>0</v>
      </c>
      <c r="BU47" s="252">
        <f t="shared" si="79"/>
        <v>0</v>
      </c>
      <c r="BV47" s="252">
        <f t="shared" si="80"/>
        <v>0</v>
      </c>
      <c r="BW47" s="252">
        <f t="shared" si="81"/>
        <v>0</v>
      </c>
      <c r="BX47" s="252">
        <f t="shared" si="82"/>
        <v>0</v>
      </c>
      <c r="BY47" s="252">
        <f t="shared" si="83"/>
        <v>0</v>
      </c>
    </row>
    <row r="48" spans="2:77">
      <c r="B48" s="205" t="s">
        <v>64</v>
      </c>
      <c r="C48" s="251">
        <f>VLOOKUP("電気",係数!$B$3:$C$30,2,FALSE)</f>
        <v>8.64</v>
      </c>
      <c r="D48" s="276">
        <f>VLOOKUP("電気",係数!$B$3:$H$30,7,FALSE)</f>
        <v>4.3100000000000001E-4</v>
      </c>
      <c r="E48" s="270">
        <f t="shared" si="52"/>
        <v>0</v>
      </c>
      <c r="F48" s="270">
        <f t="shared" si="46"/>
        <v>0</v>
      </c>
      <c r="H48" s="205" t="s">
        <v>64</v>
      </c>
      <c r="I48" s="251">
        <f>空調!D37*空調!J37*空調!L37</f>
        <v>0</v>
      </c>
      <c r="J48" s="252">
        <f t="shared" ref="J48:U48" si="111">IFERROR(IF($C25="事務所",$I48*$D25*J25*J$4,$I48*$D25*J25*J$5),"ー")</f>
        <v>0</v>
      </c>
      <c r="K48" s="252">
        <f t="shared" si="111"/>
        <v>0</v>
      </c>
      <c r="L48" s="252">
        <f t="shared" si="111"/>
        <v>0</v>
      </c>
      <c r="M48" s="252">
        <f t="shared" si="111"/>
        <v>0</v>
      </c>
      <c r="N48" s="252">
        <f t="shared" si="111"/>
        <v>0</v>
      </c>
      <c r="O48" s="252">
        <f t="shared" si="111"/>
        <v>0</v>
      </c>
      <c r="P48" s="252">
        <f t="shared" si="111"/>
        <v>0</v>
      </c>
      <c r="Q48" s="252">
        <f t="shared" si="111"/>
        <v>0</v>
      </c>
      <c r="R48" s="252">
        <f t="shared" si="111"/>
        <v>0</v>
      </c>
      <c r="S48" s="252" t="str">
        <f t="shared" si="111"/>
        <v>ー</v>
      </c>
      <c r="T48" s="252" t="str">
        <f t="shared" si="111"/>
        <v>ー</v>
      </c>
      <c r="U48" s="252">
        <f t="shared" si="111"/>
        <v>0</v>
      </c>
      <c r="V48" s="252">
        <f t="shared" si="54"/>
        <v>0</v>
      </c>
      <c r="X48" s="205" t="s">
        <v>64</v>
      </c>
      <c r="Y48" s="251">
        <f>空調!D37*空調!O37*空調!Q37</f>
        <v>0</v>
      </c>
      <c r="Z48" s="252">
        <f t="shared" ref="Z48:AK48" si="112">IFERROR(IF($C25="事務所",$Y48*$D25*Z25*Z$4,$Y48*$D25*Z25*Z$5),"ー")</f>
        <v>0</v>
      </c>
      <c r="AA48" s="252">
        <f t="shared" si="112"/>
        <v>0</v>
      </c>
      <c r="AB48" s="252">
        <f t="shared" si="112"/>
        <v>0</v>
      </c>
      <c r="AC48" s="252" t="str">
        <f t="shared" si="112"/>
        <v>ー</v>
      </c>
      <c r="AD48" s="252" t="str">
        <f t="shared" si="112"/>
        <v>ー</v>
      </c>
      <c r="AE48" s="252" t="str">
        <f t="shared" si="112"/>
        <v>ー</v>
      </c>
      <c r="AF48" s="252" t="str">
        <f t="shared" si="112"/>
        <v>ー</v>
      </c>
      <c r="AG48" s="252">
        <f t="shared" si="112"/>
        <v>0</v>
      </c>
      <c r="AH48" s="252">
        <f t="shared" si="112"/>
        <v>0</v>
      </c>
      <c r="AI48" s="252">
        <f t="shared" si="112"/>
        <v>0</v>
      </c>
      <c r="AJ48" s="252">
        <f t="shared" si="112"/>
        <v>0</v>
      </c>
      <c r="AK48" s="252">
        <f t="shared" si="112"/>
        <v>0</v>
      </c>
      <c r="AL48" s="252">
        <f t="shared" si="56"/>
        <v>0</v>
      </c>
      <c r="AN48" s="205" t="s">
        <v>64</v>
      </c>
      <c r="AO48" s="251">
        <f>VLOOKUP("電気",係数!$B$3:$C$30,2,FALSE)</f>
        <v>8.64</v>
      </c>
      <c r="AP48" s="256">
        <f>VLOOKUP("電気",係数!$B$3:$H$30,7,FALSE)</f>
        <v>4.3100000000000001E-4</v>
      </c>
      <c r="AQ48" s="270">
        <f t="shared" si="57"/>
        <v>0</v>
      </c>
      <c r="AR48" s="270">
        <f t="shared" si="49"/>
        <v>0</v>
      </c>
      <c r="AS48" s="277"/>
      <c r="AU48" s="205" t="s">
        <v>64</v>
      </c>
      <c r="AV48" s="251">
        <f>空調!X37*空調!AC37*空調!L37</f>
        <v>0</v>
      </c>
      <c r="AW48" s="252">
        <f t="shared" si="96"/>
        <v>0</v>
      </c>
      <c r="AX48" s="252">
        <f t="shared" si="59"/>
        <v>0</v>
      </c>
      <c r="AY48" s="252">
        <f t="shared" si="60"/>
        <v>0</v>
      </c>
      <c r="AZ48" s="252">
        <f t="shared" si="61"/>
        <v>0</v>
      </c>
      <c r="BA48" s="252">
        <f t="shared" si="62"/>
        <v>0</v>
      </c>
      <c r="BB48" s="252">
        <f t="shared" si="63"/>
        <v>0</v>
      </c>
      <c r="BC48" s="252">
        <f t="shared" si="64"/>
        <v>0</v>
      </c>
      <c r="BD48" s="252">
        <f t="shared" si="65"/>
        <v>0</v>
      </c>
      <c r="BE48" s="252">
        <f t="shared" si="66"/>
        <v>0</v>
      </c>
      <c r="BF48" s="252" t="str">
        <f t="shared" si="67"/>
        <v>ー</v>
      </c>
      <c r="BG48" s="252" t="str">
        <f t="shared" si="68"/>
        <v>ー</v>
      </c>
      <c r="BH48" s="252">
        <f t="shared" si="69"/>
        <v>0</v>
      </c>
      <c r="BI48" s="252">
        <f t="shared" si="70"/>
        <v>0</v>
      </c>
      <c r="BK48" s="205" t="s">
        <v>64</v>
      </c>
      <c r="BL48" s="251">
        <f>空調!X37*空調!AF37*空調!Q37</f>
        <v>0</v>
      </c>
      <c r="BM48" s="252">
        <f t="shared" si="71"/>
        <v>0</v>
      </c>
      <c r="BN48" s="252">
        <f t="shared" si="72"/>
        <v>0</v>
      </c>
      <c r="BO48" s="252">
        <f t="shared" si="73"/>
        <v>0</v>
      </c>
      <c r="BP48" s="252" t="str">
        <f t="shared" si="74"/>
        <v>ー</v>
      </c>
      <c r="BQ48" s="252" t="str">
        <f t="shared" si="75"/>
        <v>ー</v>
      </c>
      <c r="BR48" s="252" t="str">
        <f t="shared" si="76"/>
        <v>ー</v>
      </c>
      <c r="BS48" s="252" t="str">
        <f t="shared" si="77"/>
        <v>ー</v>
      </c>
      <c r="BT48" s="252">
        <f t="shared" si="78"/>
        <v>0</v>
      </c>
      <c r="BU48" s="252">
        <f t="shared" si="79"/>
        <v>0</v>
      </c>
      <c r="BV48" s="252">
        <f t="shared" si="80"/>
        <v>0</v>
      </c>
      <c r="BW48" s="252">
        <f t="shared" si="81"/>
        <v>0</v>
      </c>
      <c r="BX48" s="252">
        <f t="shared" si="82"/>
        <v>0</v>
      </c>
      <c r="BY48" s="252">
        <f t="shared" si="83"/>
        <v>0</v>
      </c>
    </row>
    <row r="49" spans="2:78">
      <c r="B49" s="205" t="s">
        <v>65</v>
      </c>
      <c r="C49" s="251">
        <f>VLOOKUP("電気",係数!$B$3:$C$30,2,FALSE)</f>
        <v>8.64</v>
      </c>
      <c r="D49" s="276">
        <f>VLOOKUP("電気",係数!$B$3:$H$30,7,FALSE)</f>
        <v>4.3100000000000001E-4</v>
      </c>
      <c r="E49" s="270">
        <f t="shared" si="52"/>
        <v>0</v>
      </c>
      <c r="F49" s="270">
        <f t="shared" si="46"/>
        <v>0</v>
      </c>
      <c r="H49" s="205" t="s">
        <v>65</v>
      </c>
      <c r="I49" s="251">
        <f>空調!D38*空調!J38*空調!L38</f>
        <v>0</v>
      </c>
      <c r="J49" s="252">
        <f t="shared" ref="J49:U49" si="113">IFERROR(IF($C26="事務所",$I49*$D26*J26*J$4,$I49*$D26*J26*J$5),"ー")</f>
        <v>0</v>
      </c>
      <c r="K49" s="252">
        <f t="shared" si="113"/>
        <v>0</v>
      </c>
      <c r="L49" s="252">
        <f t="shared" si="113"/>
        <v>0</v>
      </c>
      <c r="M49" s="252">
        <f t="shared" si="113"/>
        <v>0</v>
      </c>
      <c r="N49" s="252">
        <f t="shared" si="113"/>
        <v>0</v>
      </c>
      <c r="O49" s="252">
        <f t="shared" si="113"/>
        <v>0</v>
      </c>
      <c r="P49" s="252">
        <f t="shared" si="113"/>
        <v>0</v>
      </c>
      <c r="Q49" s="252">
        <f t="shared" si="113"/>
        <v>0</v>
      </c>
      <c r="R49" s="252">
        <f t="shared" si="113"/>
        <v>0</v>
      </c>
      <c r="S49" s="252" t="str">
        <f t="shared" si="113"/>
        <v>ー</v>
      </c>
      <c r="T49" s="252" t="str">
        <f t="shared" si="113"/>
        <v>ー</v>
      </c>
      <c r="U49" s="252">
        <f t="shared" si="113"/>
        <v>0</v>
      </c>
      <c r="V49" s="252">
        <f t="shared" si="54"/>
        <v>0</v>
      </c>
      <c r="X49" s="205" t="s">
        <v>65</v>
      </c>
      <c r="Y49" s="251">
        <f>空調!D38*空調!O38*空調!Q38</f>
        <v>0</v>
      </c>
      <c r="Z49" s="252">
        <f t="shared" ref="Z49:AK49" si="114">IFERROR(IF($C26="事務所",$Y49*$D26*Z26*Z$4,$Y49*$D26*Z26*Z$5),"ー")</f>
        <v>0</v>
      </c>
      <c r="AA49" s="252">
        <f t="shared" si="114"/>
        <v>0</v>
      </c>
      <c r="AB49" s="252">
        <f t="shared" si="114"/>
        <v>0</v>
      </c>
      <c r="AC49" s="252" t="str">
        <f t="shared" si="114"/>
        <v>ー</v>
      </c>
      <c r="AD49" s="252" t="str">
        <f t="shared" si="114"/>
        <v>ー</v>
      </c>
      <c r="AE49" s="252" t="str">
        <f t="shared" si="114"/>
        <v>ー</v>
      </c>
      <c r="AF49" s="252" t="str">
        <f t="shared" si="114"/>
        <v>ー</v>
      </c>
      <c r="AG49" s="252">
        <f t="shared" si="114"/>
        <v>0</v>
      </c>
      <c r="AH49" s="252">
        <f t="shared" si="114"/>
        <v>0</v>
      </c>
      <c r="AI49" s="252">
        <f t="shared" si="114"/>
        <v>0</v>
      </c>
      <c r="AJ49" s="252">
        <f t="shared" si="114"/>
        <v>0</v>
      </c>
      <c r="AK49" s="252">
        <f t="shared" si="114"/>
        <v>0</v>
      </c>
      <c r="AL49" s="252">
        <f t="shared" si="56"/>
        <v>0</v>
      </c>
      <c r="AN49" s="205" t="s">
        <v>65</v>
      </c>
      <c r="AO49" s="251">
        <f>VLOOKUP("電気",係数!$B$3:$C$30,2,FALSE)</f>
        <v>8.64</v>
      </c>
      <c r="AP49" s="256">
        <f>VLOOKUP("電気",係数!$B$3:$H$30,7,FALSE)</f>
        <v>4.3100000000000001E-4</v>
      </c>
      <c r="AQ49" s="270">
        <f t="shared" si="57"/>
        <v>0</v>
      </c>
      <c r="AR49" s="270">
        <f t="shared" si="49"/>
        <v>0</v>
      </c>
      <c r="AS49" s="277"/>
      <c r="AU49" s="205" t="s">
        <v>65</v>
      </c>
      <c r="AV49" s="251">
        <f>空調!X38*空調!AC38*空調!L38</f>
        <v>0</v>
      </c>
      <c r="AW49" s="252">
        <f t="shared" si="96"/>
        <v>0</v>
      </c>
      <c r="AX49" s="252">
        <f t="shared" si="59"/>
        <v>0</v>
      </c>
      <c r="AY49" s="252">
        <f t="shared" si="60"/>
        <v>0</v>
      </c>
      <c r="AZ49" s="252">
        <f t="shared" si="61"/>
        <v>0</v>
      </c>
      <c r="BA49" s="252">
        <f t="shared" si="62"/>
        <v>0</v>
      </c>
      <c r="BB49" s="252">
        <f t="shared" si="63"/>
        <v>0</v>
      </c>
      <c r="BC49" s="252">
        <f t="shared" si="64"/>
        <v>0</v>
      </c>
      <c r="BD49" s="252">
        <f t="shared" si="65"/>
        <v>0</v>
      </c>
      <c r="BE49" s="252">
        <f t="shared" si="66"/>
        <v>0</v>
      </c>
      <c r="BF49" s="252" t="str">
        <f t="shared" si="67"/>
        <v>ー</v>
      </c>
      <c r="BG49" s="252" t="str">
        <f t="shared" si="68"/>
        <v>ー</v>
      </c>
      <c r="BH49" s="252">
        <f t="shared" si="69"/>
        <v>0</v>
      </c>
      <c r="BI49" s="252">
        <f t="shared" si="70"/>
        <v>0</v>
      </c>
      <c r="BK49" s="205" t="s">
        <v>65</v>
      </c>
      <c r="BL49" s="251">
        <f>空調!X38*空調!AF38*空調!Q38</f>
        <v>0</v>
      </c>
      <c r="BM49" s="252">
        <f t="shared" si="71"/>
        <v>0</v>
      </c>
      <c r="BN49" s="252">
        <f t="shared" si="72"/>
        <v>0</v>
      </c>
      <c r="BO49" s="252">
        <f t="shared" si="73"/>
        <v>0</v>
      </c>
      <c r="BP49" s="252" t="str">
        <f t="shared" si="74"/>
        <v>ー</v>
      </c>
      <c r="BQ49" s="252" t="str">
        <f t="shared" si="75"/>
        <v>ー</v>
      </c>
      <c r="BR49" s="252" t="str">
        <f t="shared" si="76"/>
        <v>ー</v>
      </c>
      <c r="BS49" s="252" t="str">
        <f t="shared" si="77"/>
        <v>ー</v>
      </c>
      <c r="BT49" s="252">
        <f t="shared" si="78"/>
        <v>0</v>
      </c>
      <c r="BU49" s="252">
        <f t="shared" si="79"/>
        <v>0</v>
      </c>
      <c r="BV49" s="252">
        <f t="shared" si="80"/>
        <v>0</v>
      </c>
      <c r="BW49" s="252">
        <f t="shared" si="81"/>
        <v>0</v>
      </c>
      <c r="BX49" s="252">
        <f t="shared" si="82"/>
        <v>0</v>
      </c>
      <c r="BY49" s="252">
        <f t="shared" si="83"/>
        <v>0</v>
      </c>
    </row>
    <row r="50" spans="2:78">
      <c r="B50" s="205" t="s">
        <v>66</v>
      </c>
      <c r="C50" s="251">
        <f>VLOOKUP("電気",係数!$B$3:$C$30,2,FALSE)</f>
        <v>8.64</v>
      </c>
      <c r="D50" s="276">
        <f>VLOOKUP("電気",係数!$B$3:$H$30,7,FALSE)</f>
        <v>4.3100000000000001E-4</v>
      </c>
      <c r="E50" s="270">
        <f t="shared" si="52"/>
        <v>0</v>
      </c>
      <c r="F50" s="270">
        <f t="shared" si="46"/>
        <v>0</v>
      </c>
      <c r="H50" s="205" t="s">
        <v>66</v>
      </c>
      <c r="I50" s="251">
        <f>空調!D39*空調!J39*空調!L39</f>
        <v>0</v>
      </c>
      <c r="J50" s="252">
        <f t="shared" ref="J50:U50" si="115">IFERROR(IF($C27="事務所",$I50*$D27*J27*J$4,$I50*$D27*J27*J$5),"ー")</f>
        <v>0</v>
      </c>
      <c r="K50" s="252">
        <f t="shared" si="115"/>
        <v>0</v>
      </c>
      <c r="L50" s="252">
        <f t="shared" si="115"/>
        <v>0</v>
      </c>
      <c r="M50" s="252">
        <f t="shared" si="115"/>
        <v>0</v>
      </c>
      <c r="N50" s="252">
        <f t="shared" si="115"/>
        <v>0</v>
      </c>
      <c r="O50" s="252">
        <f t="shared" si="115"/>
        <v>0</v>
      </c>
      <c r="P50" s="252">
        <f t="shared" si="115"/>
        <v>0</v>
      </c>
      <c r="Q50" s="252">
        <f t="shared" si="115"/>
        <v>0</v>
      </c>
      <c r="R50" s="252">
        <f t="shared" si="115"/>
        <v>0</v>
      </c>
      <c r="S50" s="252" t="str">
        <f t="shared" si="115"/>
        <v>ー</v>
      </c>
      <c r="T50" s="252" t="str">
        <f t="shared" si="115"/>
        <v>ー</v>
      </c>
      <c r="U50" s="252">
        <f t="shared" si="115"/>
        <v>0</v>
      </c>
      <c r="V50" s="252">
        <f t="shared" si="54"/>
        <v>0</v>
      </c>
      <c r="X50" s="205" t="s">
        <v>66</v>
      </c>
      <c r="Y50" s="251">
        <f>空調!D39*空調!O39*空調!Q39</f>
        <v>0</v>
      </c>
      <c r="Z50" s="252">
        <f t="shared" ref="Z50:AK50" si="116">IFERROR(IF($C27="事務所",$Y50*$D27*Z27*Z$4,$Y50*$D27*Z27*Z$5),"ー")</f>
        <v>0</v>
      </c>
      <c r="AA50" s="252">
        <f t="shared" si="116"/>
        <v>0</v>
      </c>
      <c r="AB50" s="252">
        <f t="shared" si="116"/>
        <v>0</v>
      </c>
      <c r="AC50" s="252" t="str">
        <f t="shared" si="116"/>
        <v>ー</v>
      </c>
      <c r="AD50" s="252" t="str">
        <f t="shared" si="116"/>
        <v>ー</v>
      </c>
      <c r="AE50" s="252" t="str">
        <f t="shared" si="116"/>
        <v>ー</v>
      </c>
      <c r="AF50" s="252" t="str">
        <f t="shared" si="116"/>
        <v>ー</v>
      </c>
      <c r="AG50" s="252">
        <f t="shared" si="116"/>
        <v>0</v>
      </c>
      <c r="AH50" s="252">
        <f t="shared" si="116"/>
        <v>0</v>
      </c>
      <c r="AI50" s="252">
        <f t="shared" si="116"/>
        <v>0</v>
      </c>
      <c r="AJ50" s="252">
        <f t="shared" si="116"/>
        <v>0</v>
      </c>
      <c r="AK50" s="252">
        <f t="shared" si="116"/>
        <v>0</v>
      </c>
      <c r="AL50" s="252">
        <f t="shared" si="56"/>
        <v>0</v>
      </c>
      <c r="AN50" s="205" t="s">
        <v>66</v>
      </c>
      <c r="AO50" s="251">
        <f>VLOOKUP("電気",係数!$B$3:$C$30,2,FALSE)</f>
        <v>8.64</v>
      </c>
      <c r="AP50" s="256">
        <f>VLOOKUP("電気",係数!$B$3:$H$30,7,FALSE)</f>
        <v>4.3100000000000001E-4</v>
      </c>
      <c r="AQ50" s="270">
        <f t="shared" si="57"/>
        <v>0</v>
      </c>
      <c r="AR50" s="270">
        <f t="shared" si="49"/>
        <v>0</v>
      </c>
      <c r="AS50" s="277"/>
      <c r="AU50" s="205" t="s">
        <v>66</v>
      </c>
      <c r="AV50" s="251">
        <f>空調!X39*空調!AC39*空調!L39</f>
        <v>0</v>
      </c>
      <c r="AW50" s="252">
        <f t="shared" si="96"/>
        <v>0</v>
      </c>
      <c r="AX50" s="252">
        <f t="shared" si="59"/>
        <v>0</v>
      </c>
      <c r="AY50" s="252">
        <f t="shared" si="60"/>
        <v>0</v>
      </c>
      <c r="AZ50" s="252">
        <f t="shared" si="61"/>
        <v>0</v>
      </c>
      <c r="BA50" s="252">
        <f t="shared" si="62"/>
        <v>0</v>
      </c>
      <c r="BB50" s="252">
        <f t="shared" si="63"/>
        <v>0</v>
      </c>
      <c r="BC50" s="252">
        <f t="shared" si="64"/>
        <v>0</v>
      </c>
      <c r="BD50" s="252">
        <f t="shared" si="65"/>
        <v>0</v>
      </c>
      <c r="BE50" s="252">
        <f t="shared" si="66"/>
        <v>0</v>
      </c>
      <c r="BF50" s="252" t="str">
        <f t="shared" si="67"/>
        <v>ー</v>
      </c>
      <c r="BG50" s="252" t="str">
        <f t="shared" si="68"/>
        <v>ー</v>
      </c>
      <c r="BH50" s="252">
        <f t="shared" si="69"/>
        <v>0</v>
      </c>
      <c r="BI50" s="252">
        <f t="shared" si="70"/>
        <v>0</v>
      </c>
      <c r="BK50" s="205" t="s">
        <v>66</v>
      </c>
      <c r="BL50" s="251">
        <f>空調!X39*空調!AF39*空調!Q39</f>
        <v>0</v>
      </c>
      <c r="BM50" s="252">
        <f t="shared" si="71"/>
        <v>0</v>
      </c>
      <c r="BN50" s="252">
        <f t="shared" si="72"/>
        <v>0</v>
      </c>
      <c r="BO50" s="252">
        <f t="shared" si="73"/>
        <v>0</v>
      </c>
      <c r="BP50" s="252" t="str">
        <f t="shared" si="74"/>
        <v>ー</v>
      </c>
      <c r="BQ50" s="252" t="str">
        <f t="shared" si="75"/>
        <v>ー</v>
      </c>
      <c r="BR50" s="252" t="str">
        <f t="shared" si="76"/>
        <v>ー</v>
      </c>
      <c r="BS50" s="252" t="str">
        <f t="shared" si="77"/>
        <v>ー</v>
      </c>
      <c r="BT50" s="252">
        <f t="shared" si="78"/>
        <v>0</v>
      </c>
      <c r="BU50" s="252">
        <f t="shared" si="79"/>
        <v>0</v>
      </c>
      <c r="BV50" s="252">
        <f t="shared" si="80"/>
        <v>0</v>
      </c>
      <c r="BW50" s="252">
        <f t="shared" si="81"/>
        <v>0</v>
      </c>
      <c r="BX50" s="252">
        <f t="shared" si="82"/>
        <v>0</v>
      </c>
      <c r="BY50" s="252">
        <f t="shared" si="83"/>
        <v>0</v>
      </c>
    </row>
    <row r="51" spans="2:78">
      <c r="B51" s="205" t="s">
        <v>67</v>
      </c>
      <c r="C51" s="251">
        <f>VLOOKUP("電気",係数!$B$3:$C$30,2,FALSE)</f>
        <v>8.64</v>
      </c>
      <c r="D51" s="276">
        <f>VLOOKUP("電気",係数!$B$3:$H$30,7,FALSE)</f>
        <v>4.3100000000000001E-4</v>
      </c>
      <c r="E51" s="270">
        <f t="shared" si="52"/>
        <v>0</v>
      </c>
      <c r="F51" s="270">
        <f t="shared" si="46"/>
        <v>0</v>
      </c>
      <c r="H51" s="205" t="s">
        <v>67</v>
      </c>
      <c r="I51" s="251">
        <f>空調!D40*空調!J40*空調!L40</f>
        <v>0</v>
      </c>
      <c r="J51" s="252">
        <f t="shared" ref="J51:U51" si="117">IFERROR(IF($C28="事務所",$I51*$D28*J28*J$4,$I51*$D28*J28*J$5),"ー")</f>
        <v>0</v>
      </c>
      <c r="K51" s="252">
        <f t="shared" si="117"/>
        <v>0</v>
      </c>
      <c r="L51" s="252">
        <f t="shared" si="117"/>
        <v>0</v>
      </c>
      <c r="M51" s="252">
        <f t="shared" si="117"/>
        <v>0</v>
      </c>
      <c r="N51" s="252">
        <f t="shared" si="117"/>
        <v>0</v>
      </c>
      <c r="O51" s="252">
        <f t="shared" si="117"/>
        <v>0</v>
      </c>
      <c r="P51" s="252">
        <f t="shared" si="117"/>
        <v>0</v>
      </c>
      <c r="Q51" s="252">
        <f t="shared" si="117"/>
        <v>0</v>
      </c>
      <c r="R51" s="252">
        <f t="shared" si="117"/>
        <v>0</v>
      </c>
      <c r="S51" s="252" t="str">
        <f t="shared" si="117"/>
        <v>ー</v>
      </c>
      <c r="T51" s="252" t="str">
        <f t="shared" si="117"/>
        <v>ー</v>
      </c>
      <c r="U51" s="252">
        <f t="shared" si="117"/>
        <v>0</v>
      </c>
      <c r="V51" s="252">
        <f t="shared" si="54"/>
        <v>0</v>
      </c>
      <c r="X51" s="205" t="s">
        <v>67</v>
      </c>
      <c r="Y51" s="251">
        <f>空調!D40*空調!O40*空調!Q40</f>
        <v>0</v>
      </c>
      <c r="Z51" s="252">
        <f t="shared" ref="Z51:AK51" si="118">IFERROR(IF($C28="事務所",$Y51*$D28*Z28*Z$4,$Y51*$D28*Z28*Z$5),"ー")</f>
        <v>0</v>
      </c>
      <c r="AA51" s="252">
        <f t="shared" si="118"/>
        <v>0</v>
      </c>
      <c r="AB51" s="252">
        <f t="shared" si="118"/>
        <v>0</v>
      </c>
      <c r="AC51" s="252" t="str">
        <f t="shared" si="118"/>
        <v>ー</v>
      </c>
      <c r="AD51" s="252" t="str">
        <f t="shared" si="118"/>
        <v>ー</v>
      </c>
      <c r="AE51" s="252" t="str">
        <f t="shared" si="118"/>
        <v>ー</v>
      </c>
      <c r="AF51" s="252" t="str">
        <f t="shared" si="118"/>
        <v>ー</v>
      </c>
      <c r="AG51" s="252">
        <f t="shared" si="118"/>
        <v>0</v>
      </c>
      <c r="AH51" s="252">
        <f t="shared" si="118"/>
        <v>0</v>
      </c>
      <c r="AI51" s="252">
        <f t="shared" si="118"/>
        <v>0</v>
      </c>
      <c r="AJ51" s="252">
        <f t="shared" si="118"/>
        <v>0</v>
      </c>
      <c r="AK51" s="252">
        <f t="shared" si="118"/>
        <v>0</v>
      </c>
      <c r="AL51" s="252">
        <f t="shared" si="56"/>
        <v>0</v>
      </c>
      <c r="AN51" s="205" t="s">
        <v>67</v>
      </c>
      <c r="AO51" s="251">
        <f>VLOOKUP("電気",係数!$B$3:$C$30,2,FALSE)</f>
        <v>8.64</v>
      </c>
      <c r="AP51" s="256">
        <f>VLOOKUP("電気",係数!$B$3:$H$30,7,FALSE)</f>
        <v>4.3100000000000001E-4</v>
      </c>
      <c r="AQ51" s="270">
        <f t="shared" si="57"/>
        <v>0</v>
      </c>
      <c r="AR51" s="270">
        <f t="shared" si="49"/>
        <v>0</v>
      </c>
      <c r="AS51" s="277"/>
      <c r="AU51" s="205" t="s">
        <v>67</v>
      </c>
      <c r="AV51" s="251">
        <f>空調!X40*空調!AC40*空調!L40</f>
        <v>0</v>
      </c>
      <c r="AW51" s="252">
        <f t="shared" si="96"/>
        <v>0</v>
      </c>
      <c r="AX51" s="252">
        <f t="shared" si="59"/>
        <v>0</v>
      </c>
      <c r="AY51" s="252">
        <f t="shared" si="60"/>
        <v>0</v>
      </c>
      <c r="AZ51" s="252">
        <f t="shared" si="61"/>
        <v>0</v>
      </c>
      <c r="BA51" s="252">
        <f t="shared" si="62"/>
        <v>0</v>
      </c>
      <c r="BB51" s="252">
        <f t="shared" si="63"/>
        <v>0</v>
      </c>
      <c r="BC51" s="252">
        <f t="shared" si="64"/>
        <v>0</v>
      </c>
      <c r="BD51" s="252">
        <f t="shared" si="65"/>
        <v>0</v>
      </c>
      <c r="BE51" s="252">
        <f t="shared" si="66"/>
        <v>0</v>
      </c>
      <c r="BF51" s="252" t="str">
        <f t="shared" si="67"/>
        <v>ー</v>
      </c>
      <c r="BG51" s="252" t="str">
        <f t="shared" si="68"/>
        <v>ー</v>
      </c>
      <c r="BH51" s="252">
        <f t="shared" si="69"/>
        <v>0</v>
      </c>
      <c r="BI51" s="252">
        <f t="shared" si="70"/>
        <v>0</v>
      </c>
      <c r="BK51" s="205" t="s">
        <v>67</v>
      </c>
      <c r="BL51" s="251">
        <f>空調!X40*空調!AF40*空調!Q40</f>
        <v>0</v>
      </c>
      <c r="BM51" s="252">
        <f t="shared" si="71"/>
        <v>0</v>
      </c>
      <c r="BN51" s="252">
        <f t="shared" si="72"/>
        <v>0</v>
      </c>
      <c r="BO51" s="252">
        <f t="shared" si="73"/>
        <v>0</v>
      </c>
      <c r="BP51" s="252" t="str">
        <f t="shared" si="74"/>
        <v>ー</v>
      </c>
      <c r="BQ51" s="252" t="str">
        <f t="shared" si="75"/>
        <v>ー</v>
      </c>
      <c r="BR51" s="252" t="str">
        <f t="shared" si="76"/>
        <v>ー</v>
      </c>
      <c r="BS51" s="252" t="str">
        <f t="shared" si="77"/>
        <v>ー</v>
      </c>
      <c r="BT51" s="252">
        <f t="shared" si="78"/>
        <v>0</v>
      </c>
      <c r="BU51" s="252">
        <f t="shared" si="79"/>
        <v>0</v>
      </c>
      <c r="BV51" s="252">
        <f t="shared" si="80"/>
        <v>0</v>
      </c>
      <c r="BW51" s="252">
        <f t="shared" si="81"/>
        <v>0</v>
      </c>
      <c r="BX51" s="252">
        <f t="shared" si="82"/>
        <v>0</v>
      </c>
      <c r="BY51" s="252">
        <f t="shared" si="83"/>
        <v>0</v>
      </c>
    </row>
    <row r="52" spans="2:78">
      <c r="B52" s="205" t="s">
        <v>68</v>
      </c>
      <c r="C52" s="251">
        <f>VLOOKUP("電気",係数!$B$3:$C$30,2,FALSE)</f>
        <v>8.64</v>
      </c>
      <c r="D52" s="276">
        <f>VLOOKUP("電気",係数!$B$3:$H$30,7,FALSE)</f>
        <v>4.3100000000000001E-4</v>
      </c>
      <c r="E52" s="270">
        <f t="shared" si="52"/>
        <v>0</v>
      </c>
      <c r="F52" s="270">
        <f t="shared" si="46"/>
        <v>0</v>
      </c>
      <c r="H52" s="205" t="s">
        <v>68</v>
      </c>
      <c r="I52" s="251">
        <f>空調!D41*空調!J41*空調!L41</f>
        <v>0</v>
      </c>
      <c r="J52" s="252">
        <f t="shared" ref="J52:U52" si="119">IFERROR(IF($C29="事務所",$I52*$D29*J29*J$4,$I52*$D29*J29*J$5),"ー")</f>
        <v>0</v>
      </c>
      <c r="K52" s="252">
        <f t="shared" si="119"/>
        <v>0</v>
      </c>
      <c r="L52" s="252">
        <f t="shared" si="119"/>
        <v>0</v>
      </c>
      <c r="M52" s="252">
        <f t="shared" si="119"/>
        <v>0</v>
      </c>
      <c r="N52" s="252">
        <f t="shared" si="119"/>
        <v>0</v>
      </c>
      <c r="O52" s="252">
        <f t="shared" si="119"/>
        <v>0</v>
      </c>
      <c r="P52" s="252">
        <f t="shared" si="119"/>
        <v>0</v>
      </c>
      <c r="Q52" s="252">
        <f t="shared" si="119"/>
        <v>0</v>
      </c>
      <c r="R52" s="252">
        <f t="shared" si="119"/>
        <v>0</v>
      </c>
      <c r="S52" s="252" t="str">
        <f t="shared" si="119"/>
        <v>ー</v>
      </c>
      <c r="T52" s="252" t="str">
        <f t="shared" si="119"/>
        <v>ー</v>
      </c>
      <c r="U52" s="252">
        <f t="shared" si="119"/>
        <v>0</v>
      </c>
      <c r="V52" s="252">
        <f t="shared" si="54"/>
        <v>0</v>
      </c>
      <c r="X52" s="205" t="s">
        <v>68</v>
      </c>
      <c r="Y52" s="251">
        <f>空調!D41*空調!O41*空調!Q41</f>
        <v>0</v>
      </c>
      <c r="Z52" s="252">
        <f t="shared" ref="Z52:AK52" si="120">IFERROR(IF($C29="事務所",$Y52*$D29*Z29*Z$4,$Y52*$D29*Z29*Z$5),"ー")</f>
        <v>0</v>
      </c>
      <c r="AA52" s="252">
        <f t="shared" si="120"/>
        <v>0</v>
      </c>
      <c r="AB52" s="252">
        <f t="shared" si="120"/>
        <v>0</v>
      </c>
      <c r="AC52" s="252" t="str">
        <f t="shared" si="120"/>
        <v>ー</v>
      </c>
      <c r="AD52" s="252" t="str">
        <f t="shared" si="120"/>
        <v>ー</v>
      </c>
      <c r="AE52" s="252" t="str">
        <f t="shared" si="120"/>
        <v>ー</v>
      </c>
      <c r="AF52" s="252" t="str">
        <f t="shared" si="120"/>
        <v>ー</v>
      </c>
      <c r="AG52" s="252">
        <f t="shared" si="120"/>
        <v>0</v>
      </c>
      <c r="AH52" s="252">
        <f t="shared" si="120"/>
        <v>0</v>
      </c>
      <c r="AI52" s="252">
        <f t="shared" si="120"/>
        <v>0</v>
      </c>
      <c r="AJ52" s="252">
        <f t="shared" si="120"/>
        <v>0</v>
      </c>
      <c r="AK52" s="252">
        <f t="shared" si="120"/>
        <v>0</v>
      </c>
      <c r="AL52" s="252">
        <f t="shared" si="56"/>
        <v>0</v>
      </c>
      <c r="AN52" s="205" t="s">
        <v>68</v>
      </c>
      <c r="AO52" s="251">
        <f>VLOOKUP("電気",係数!$B$3:$C$30,2,FALSE)</f>
        <v>8.64</v>
      </c>
      <c r="AP52" s="256">
        <f>VLOOKUP("電気",係数!$B$3:$H$30,7,FALSE)</f>
        <v>4.3100000000000001E-4</v>
      </c>
      <c r="AQ52" s="270">
        <f t="shared" si="57"/>
        <v>0</v>
      </c>
      <c r="AR52" s="270">
        <f t="shared" si="49"/>
        <v>0</v>
      </c>
      <c r="AS52" s="277"/>
      <c r="AU52" s="205" t="s">
        <v>68</v>
      </c>
      <c r="AV52" s="251">
        <f>空調!X41*空調!AC41*空調!L41</f>
        <v>0</v>
      </c>
      <c r="AW52" s="252">
        <f t="shared" si="96"/>
        <v>0</v>
      </c>
      <c r="AX52" s="252">
        <f t="shared" si="59"/>
        <v>0</v>
      </c>
      <c r="AY52" s="252">
        <f t="shared" si="60"/>
        <v>0</v>
      </c>
      <c r="AZ52" s="252">
        <f t="shared" si="61"/>
        <v>0</v>
      </c>
      <c r="BA52" s="252">
        <f t="shared" si="62"/>
        <v>0</v>
      </c>
      <c r="BB52" s="252">
        <f t="shared" si="63"/>
        <v>0</v>
      </c>
      <c r="BC52" s="252">
        <f t="shared" si="64"/>
        <v>0</v>
      </c>
      <c r="BD52" s="252">
        <f t="shared" si="65"/>
        <v>0</v>
      </c>
      <c r="BE52" s="252">
        <f t="shared" si="66"/>
        <v>0</v>
      </c>
      <c r="BF52" s="252" t="str">
        <f t="shared" si="67"/>
        <v>ー</v>
      </c>
      <c r="BG52" s="252" t="str">
        <f t="shared" si="68"/>
        <v>ー</v>
      </c>
      <c r="BH52" s="252">
        <f t="shared" si="69"/>
        <v>0</v>
      </c>
      <c r="BI52" s="252">
        <f t="shared" si="70"/>
        <v>0</v>
      </c>
      <c r="BK52" s="205" t="s">
        <v>68</v>
      </c>
      <c r="BL52" s="251">
        <f>空調!X41*空調!AF41*空調!Q41</f>
        <v>0</v>
      </c>
      <c r="BM52" s="252">
        <f t="shared" si="71"/>
        <v>0</v>
      </c>
      <c r="BN52" s="252">
        <f t="shared" si="72"/>
        <v>0</v>
      </c>
      <c r="BO52" s="252">
        <f t="shared" si="73"/>
        <v>0</v>
      </c>
      <c r="BP52" s="252" t="str">
        <f t="shared" si="74"/>
        <v>ー</v>
      </c>
      <c r="BQ52" s="252" t="str">
        <f t="shared" si="75"/>
        <v>ー</v>
      </c>
      <c r="BR52" s="252" t="str">
        <f t="shared" si="76"/>
        <v>ー</v>
      </c>
      <c r="BS52" s="252" t="str">
        <f t="shared" si="77"/>
        <v>ー</v>
      </c>
      <c r="BT52" s="252">
        <f t="shared" si="78"/>
        <v>0</v>
      </c>
      <c r="BU52" s="252">
        <f t="shared" si="79"/>
        <v>0</v>
      </c>
      <c r="BV52" s="252">
        <f t="shared" si="80"/>
        <v>0</v>
      </c>
      <c r="BW52" s="252">
        <f t="shared" si="81"/>
        <v>0</v>
      </c>
      <c r="BX52" s="252">
        <f t="shared" si="82"/>
        <v>0</v>
      </c>
      <c r="BY52" s="252">
        <f t="shared" si="83"/>
        <v>0</v>
      </c>
    </row>
    <row r="53" spans="2:78" s="118" customFormat="1">
      <c r="B53" s="222"/>
      <c r="C53" s="221"/>
      <c r="D53" s="313"/>
      <c r="E53" s="277"/>
      <c r="F53" s="277"/>
      <c r="H53" s="222"/>
      <c r="I53" s="221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X53" s="222"/>
      <c r="Y53" s="221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N53" s="222"/>
      <c r="AO53" s="221"/>
      <c r="AP53" s="314"/>
      <c r="AQ53" s="277"/>
      <c r="AR53" s="277"/>
      <c r="AS53" s="277"/>
      <c r="AU53" s="222"/>
      <c r="AV53" s="221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K53" s="222"/>
      <c r="BL53" s="221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</row>
    <row r="54" spans="2:78">
      <c r="B54" s="217" t="s">
        <v>987</v>
      </c>
      <c r="F54" s="180"/>
      <c r="H54" s="217" t="s">
        <v>927</v>
      </c>
      <c r="J54" t="s">
        <v>1064</v>
      </c>
      <c r="W54" s="180"/>
      <c r="X54" s="217" t="s">
        <v>927</v>
      </c>
      <c r="Z54" t="s">
        <v>1064</v>
      </c>
      <c r="AM54" s="180"/>
      <c r="AN54" s="217" t="s">
        <v>927</v>
      </c>
      <c r="AR54" s="180"/>
      <c r="AS54" s="180"/>
      <c r="AU54" s="217" t="s">
        <v>927</v>
      </c>
      <c r="AW54" t="s">
        <v>1064</v>
      </c>
      <c r="BJ54" s="180"/>
      <c r="BK54" s="217" t="s">
        <v>927</v>
      </c>
      <c r="BM54" t="s">
        <v>1064</v>
      </c>
      <c r="BZ54" s="180"/>
    </row>
    <row r="55" spans="2:78">
      <c r="B55" s="227"/>
      <c r="C55" s="206" t="s">
        <v>936</v>
      </c>
      <c r="D55" s="206" t="s">
        <v>390</v>
      </c>
      <c r="E55" s="206" t="s">
        <v>934</v>
      </c>
      <c r="F55" s="206" t="s">
        <v>935</v>
      </c>
      <c r="H55" s="215" t="s">
        <v>916</v>
      </c>
      <c r="I55" s="206" t="s">
        <v>1065</v>
      </c>
      <c r="J55" s="203" t="s">
        <v>894</v>
      </c>
      <c r="K55" s="203" t="s">
        <v>895</v>
      </c>
      <c r="L55" s="203" t="s">
        <v>896</v>
      </c>
      <c r="M55" s="203" t="s">
        <v>897</v>
      </c>
      <c r="N55" s="203" t="s">
        <v>898</v>
      </c>
      <c r="O55" s="203" t="s">
        <v>899</v>
      </c>
      <c r="P55" s="203" t="s">
        <v>900</v>
      </c>
      <c r="Q55" s="203" t="s">
        <v>901</v>
      </c>
      <c r="R55" s="203" t="s">
        <v>902</v>
      </c>
      <c r="S55" s="203" t="s">
        <v>903</v>
      </c>
      <c r="T55" s="203" t="s">
        <v>904</v>
      </c>
      <c r="U55" s="203" t="s">
        <v>905</v>
      </c>
      <c r="V55" s="203" t="s">
        <v>915</v>
      </c>
      <c r="W55" s="180"/>
      <c r="X55" s="216" t="s">
        <v>917</v>
      </c>
      <c r="Y55" s="206" t="s">
        <v>1065</v>
      </c>
      <c r="Z55" s="203" t="s">
        <v>894</v>
      </c>
      <c r="AA55" s="203" t="s">
        <v>895</v>
      </c>
      <c r="AB55" s="203" t="s">
        <v>896</v>
      </c>
      <c r="AC55" s="203" t="s">
        <v>897</v>
      </c>
      <c r="AD55" s="203" t="s">
        <v>898</v>
      </c>
      <c r="AE55" s="203" t="s">
        <v>899</v>
      </c>
      <c r="AF55" s="203" t="s">
        <v>900</v>
      </c>
      <c r="AG55" s="203" t="s">
        <v>901</v>
      </c>
      <c r="AH55" s="203" t="s">
        <v>902</v>
      </c>
      <c r="AI55" s="203" t="s">
        <v>903</v>
      </c>
      <c r="AJ55" s="203" t="s">
        <v>904</v>
      </c>
      <c r="AK55" s="203" t="s">
        <v>905</v>
      </c>
      <c r="AL55" s="203" t="s">
        <v>915</v>
      </c>
      <c r="AM55" s="180"/>
      <c r="AN55" s="227"/>
      <c r="AO55" s="206" t="s">
        <v>936</v>
      </c>
      <c r="AP55" s="206" t="s">
        <v>390</v>
      </c>
      <c r="AQ55" s="206" t="s">
        <v>934</v>
      </c>
      <c r="AR55" s="206" t="s">
        <v>935</v>
      </c>
      <c r="AS55" s="221"/>
      <c r="AU55" s="215" t="s">
        <v>925</v>
      </c>
      <c r="AV55" s="206" t="s">
        <v>1065</v>
      </c>
      <c r="AW55" s="218" t="s">
        <v>894</v>
      </c>
      <c r="AX55" s="218" t="s">
        <v>895</v>
      </c>
      <c r="AY55" s="218" t="s">
        <v>896</v>
      </c>
      <c r="AZ55" s="218" t="s">
        <v>897</v>
      </c>
      <c r="BA55" s="218" t="s">
        <v>898</v>
      </c>
      <c r="BB55" s="218" t="s">
        <v>899</v>
      </c>
      <c r="BC55" s="218" t="s">
        <v>900</v>
      </c>
      <c r="BD55" s="218" t="s">
        <v>901</v>
      </c>
      <c r="BE55" s="218" t="s">
        <v>902</v>
      </c>
      <c r="BF55" s="218" t="s">
        <v>903</v>
      </c>
      <c r="BG55" s="218" t="s">
        <v>904</v>
      </c>
      <c r="BH55" s="218" t="s">
        <v>905</v>
      </c>
      <c r="BI55" s="218" t="s">
        <v>16</v>
      </c>
      <c r="BJ55" s="180"/>
      <c r="BK55" s="216" t="s">
        <v>926</v>
      </c>
      <c r="BL55" s="206" t="s">
        <v>1065</v>
      </c>
      <c r="BM55" s="218" t="s">
        <v>894</v>
      </c>
      <c r="BN55" s="218" t="s">
        <v>895</v>
      </c>
      <c r="BO55" s="218" t="s">
        <v>896</v>
      </c>
      <c r="BP55" s="218" t="s">
        <v>897</v>
      </c>
      <c r="BQ55" s="218" t="s">
        <v>898</v>
      </c>
      <c r="BR55" s="218" t="s">
        <v>899</v>
      </c>
      <c r="BS55" s="218" t="s">
        <v>900</v>
      </c>
      <c r="BT55" s="218" t="s">
        <v>901</v>
      </c>
      <c r="BU55" s="218" t="s">
        <v>902</v>
      </c>
      <c r="BV55" s="218" t="s">
        <v>903</v>
      </c>
      <c r="BW55" s="218" t="s">
        <v>904</v>
      </c>
      <c r="BX55" s="218" t="s">
        <v>905</v>
      </c>
      <c r="BY55" s="218" t="s">
        <v>16</v>
      </c>
      <c r="BZ55" s="180"/>
    </row>
    <row r="56" spans="2:78">
      <c r="B56" s="205" t="s">
        <v>49</v>
      </c>
      <c r="C56" s="255">
        <f>IF($E10&lt;&gt;"LPG",VLOOKUP("都市ガス",係数!$B$3:$C$30,2,FALSE),VLOOKUP("液化石油ガス（LPG）",係数!$B$3:$C$30,2,FALSE)/0.458)</f>
        <v>40</v>
      </c>
      <c r="D56" s="275">
        <f>IF($E10&lt;&gt;"LPG",VLOOKUP("都市ガス",係数!$B$3:$H$30,7,FALSE),VLOOKUP("液化石油ガス（LPG）",係数!$B$3:$H$30,7,FALSE)/0.458)</f>
        <v>2.0500000000000002E-3</v>
      </c>
      <c r="E56" s="270">
        <f>(V56+AL56)*D56</f>
        <v>0</v>
      </c>
      <c r="F56" s="270">
        <f t="shared" ref="F56:F75" si="121">(V56+AL56)*C56*0.0000258</f>
        <v>0</v>
      </c>
      <c r="H56" s="205" t="s">
        <v>49</v>
      </c>
      <c r="I56" s="251">
        <f>空調!D22*空調!K22*空調!L22</f>
        <v>0</v>
      </c>
      <c r="J56" s="252" t="str">
        <f>IFERROR(IF($C10="事務所",$I56*$D10*J10*J$4*860/$F10,$I56*$D10*J10*J$5*860/$F10),"ー")</f>
        <v>ー</v>
      </c>
      <c r="K56" s="252" t="str">
        <f t="shared" ref="K56:U56" si="122">IFERROR(IF($C10="事務所",$I56*$D10*K10*K$4*860/$F10,$I56*$D10*K10*K$5*860/$F10),"ー")</f>
        <v>ー</v>
      </c>
      <c r="L56" s="252" t="str">
        <f t="shared" si="122"/>
        <v>ー</v>
      </c>
      <c r="M56" s="252" t="str">
        <f t="shared" si="122"/>
        <v>ー</v>
      </c>
      <c r="N56" s="252" t="str">
        <f>IFERROR(IF($C10="事務所",$I56*$D10*N10*N$4*860/$F10,$I56*$D10*N10*N$5*860/$F10),"ー")</f>
        <v>ー</v>
      </c>
      <c r="O56" s="252" t="str">
        <f t="shared" si="122"/>
        <v>ー</v>
      </c>
      <c r="P56" s="252" t="str">
        <f t="shared" si="122"/>
        <v>ー</v>
      </c>
      <c r="Q56" s="252" t="str">
        <f t="shared" si="122"/>
        <v>ー</v>
      </c>
      <c r="R56" s="252" t="str">
        <f t="shared" si="122"/>
        <v>ー</v>
      </c>
      <c r="S56" s="252" t="str">
        <f t="shared" si="122"/>
        <v>ー</v>
      </c>
      <c r="T56" s="252" t="str">
        <f t="shared" si="122"/>
        <v>ー</v>
      </c>
      <c r="U56" s="252" t="str">
        <f t="shared" si="122"/>
        <v>ー</v>
      </c>
      <c r="V56" s="252">
        <f>SUM(J56:U56)</f>
        <v>0</v>
      </c>
      <c r="W56" s="180"/>
      <c r="X56" s="205" t="s">
        <v>49</v>
      </c>
      <c r="Y56" s="251">
        <f>空調!D22*空調!P22*空調!Q22</f>
        <v>0</v>
      </c>
      <c r="Z56" s="252" t="str">
        <f>IFERROR(IF($C10="事務所",$Y56*$D10*Z10*Z$4*860/$F10,$Y56*$D10*Z10*Z$5*860/$F10),"ー")</f>
        <v>ー</v>
      </c>
      <c r="AA56" s="252" t="str">
        <f>IFERROR(IF($C10="事務所",$Y56*$D10*AA10*AA$4*860/$F10,$Y56*$D10*AA10*AA$5*860/$F10),"ー")</f>
        <v>ー</v>
      </c>
      <c r="AB56" s="252" t="str">
        <f t="shared" ref="AB56:AK56" si="123">IFERROR(IF($C10="事務所",$Y56*$D10*AB10*AB$4*860/$F10,$Y56*$D10*AB10*AB$5*860/$F10),"ー")</f>
        <v>ー</v>
      </c>
      <c r="AC56" s="252" t="str">
        <f t="shared" si="123"/>
        <v>ー</v>
      </c>
      <c r="AD56" s="252" t="str">
        <f t="shared" si="123"/>
        <v>ー</v>
      </c>
      <c r="AE56" s="252" t="str">
        <f t="shared" si="123"/>
        <v>ー</v>
      </c>
      <c r="AF56" s="252" t="str">
        <f t="shared" si="123"/>
        <v>ー</v>
      </c>
      <c r="AG56" s="252" t="str">
        <f t="shared" si="123"/>
        <v>ー</v>
      </c>
      <c r="AH56" s="252" t="str">
        <f t="shared" si="123"/>
        <v>ー</v>
      </c>
      <c r="AI56" s="252" t="str">
        <f t="shared" si="123"/>
        <v>ー</v>
      </c>
      <c r="AJ56" s="252" t="str">
        <f t="shared" si="123"/>
        <v>ー</v>
      </c>
      <c r="AK56" s="252" t="str">
        <f t="shared" si="123"/>
        <v>ー</v>
      </c>
      <c r="AL56" s="252">
        <f>SUM(Z56:AK56)</f>
        <v>0</v>
      </c>
      <c r="AM56" s="180"/>
      <c r="AN56" s="205" t="s">
        <v>49</v>
      </c>
      <c r="AO56" s="254">
        <f>IF($AR10&lt;&gt;"LPG",VLOOKUP("都市ガス",係数!$B$3:$C$30,2,FALSE),VLOOKUP("液化石油ガス（LPG）",係数!$B$3:$C$30,2,FALSE)/0.458)</f>
        <v>40</v>
      </c>
      <c r="AP56" s="254">
        <f>IF($AR10&lt;&gt;"LPG",VLOOKUP("都市ガス",係数!$B$3:$H$30,7,FALSE),VLOOKUP("液化石油ガス（LPG）",係数!$B$3:$H$30,7,FALSE)/0.458)</f>
        <v>2.0500000000000002E-3</v>
      </c>
      <c r="AQ56" s="270">
        <f t="shared" ref="AQ56:AQ75" si="124">(BI56+BY56)*AP56</f>
        <v>0</v>
      </c>
      <c r="AR56" s="270">
        <f t="shared" ref="AR56:AR75" si="125">(BI56+BY56)*AO56*0.0000258</f>
        <v>0</v>
      </c>
      <c r="AS56" s="277"/>
      <c r="AU56" s="205" t="s">
        <v>49</v>
      </c>
      <c r="AV56" s="251">
        <f>空調!X22*空調!AG22*空調!L22</f>
        <v>0</v>
      </c>
      <c r="AW56" s="252" t="str">
        <f>IF(AND($AP10&lt;&gt;0,$AQ10&lt;&gt;0),IFERROR(J56*($AP10/$AQ10),"ー"),IFERROR(IF($C10="事務所",$AV56*$D10*AW10*AW$4*860/$AS10,$AV56*$D10*AW10*AW$5*860/$AS10),"ー"))</f>
        <v>ー</v>
      </c>
      <c r="AX56" s="252" t="str">
        <f t="shared" ref="AX56:BH56" si="126">IF(AND($AP10&lt;&gt;0,$AQ10&lt;&gt;0),IFERROR(K56*($AP10/$AQ10),"ー"),IFERROR(IF($C10="事務所",$AV56*$D10*AX10*AX$4*860/$AS10,$AV56*$D10*AX10*AX$5*860/$AS10),"ー"))</f>
        <v>ー</v>
      </c>
      <c r="AY56" s="252" t="str">
        <f t="shared" si="126"/>
        <v>ー</v>
      </c>
      <c r="AZ56" s="252" t="str">
        <f t="shared" si="126"/>
        <v>ー</v>
      </c>
      <c r="BA56" s="252" t="str">
        <f t="shared" si="126"/>
        <v>ー</v>
      </c>
      <c r="BB56" s="252" t="str">
        <f t="shared" si="126"/>
        <v>ー</v>
      </c>
      <c r="BC56" s="252" t="str">
        <f t="shared" si="126"/>
        <v>ー</v>
      </c>
      <c r="BD56" s="252" t="str">
        <f t="shared" si="126"/>
        <v>ー</v>
      </c>
      <c r="BE56" s="252" t="str">
        <f t="shared" si="126"/>
        <v>ー</v>
      </c>
      <c r="BF56" s="252" t="str">
        <f t="shared" si="126"/>
        <v>ー</v>
      </c>
      <c r="BG56" s="252" t="str">
        <f t="shared" si="126"/>
        <v>ー</v>
      </c>
      <c r="BH56" s="252" t="str">
        <f t="shared" si="126"/>
        <v>ー</v>
      </c>
      <c r="BI56" s="252">
        <f>SUM(AW56:BH56)</f>
        <v>0</v>
      </c>
      <c r="BJ56" s="180"/>
      <c r="BK56" s="205" t="s">
        <v>49</v>
      </c>
      <c r="BL56" s="251">
        <f>空調!X22*空調!AG22*空調!Q22</f>
        <v>0</v>
      </c>
      <c r="BM56" s="252" t="str">
        <f>IF(AND($AP10&lt;&gt;0,$AQ10&lt;&gt;0),IFERROR(Z56*($AP10/$AQ10),"ー"),IFERROR(IF($C10="事務所",$BL56*BM10*BM$4*860/$AS10,$BL56*BM10*BM$5*860/$AS10),"ー"))</f>
        <v>ー</v>
      </c>
      <c r="BN56" s="252" t="str">
        <f t="shared" ref="BN56:BX56" si="127">IF(AND($AP10&lt;&gt;0,$AQ10&lt;&gt;0),IFERROR(AA56*($AP10/$AQ10),"ー"),IFERROR(IF($C10="事務所",$BL56*BN10*BN$4*860/$AS10,$BL56*BN10*BN$5*860/$AS10),"ー"))</f>
        <v>ー</v>
      </c>
      <c r="BO56" s="252" t="str">
        <f t="shared" si="127"/>
        <v>ー</v>
      </c>
      <c r="BP56" s="252" t="str">
        <f t="shared" si="127"/>
        <v>ー</v>
      </c>
      <c r="BQ56" s="252" t="str">
        <f t="shared" si="127"/>
        <v>ー</v>
      </c>
      <c r="BR56" s="252" t="str">
        <f t="shared" si="127"/>
        <v>ー</v>
      </c>
      <c r="BS56" s="252" t="str">
        <f t="shared" si="127"/>
        <v>ー</v>
      </c>
      <c r="BT56" s="252" t="str">
        <f t="shared" si="127"/>
        <v>ー</v>
      </c>
      <c r="BU56" s="252" t="str">
        <f t="shared" si="127"/>
        <v>ー</v>
      </c>
      <c r="BV56" s="252" t="str">
        <f t="shared" si="127"/>
        <v>ー</v>
      </c>
      <c r="BW56" s="252" t="str">
        <f t="shared" si="127"/>
        <v>ー</v>
      </c>
      <c r="BX56" s="252" t="str">
        <f t="shared" si="127"/>
        <v>ー</v>
      </c>
      <c r="BY56" s="252">
        <f>SUM(BM56:BX56)</f>
        <v>0</v>
      </c>
      <c r="BZ56" s="180"/>
    </row>
    <row r="57" spans="2:78">
      <c r="B57" s="205" t="s">
        <v>50</v>
      </c>
      <c r="C57" s="255">
        <f>IF($E11&lt;&gt;"LPG",VLOOKUP("都市ガス",係数!$B$3:$C$30,2,FALSE),VLOOKUP("液化石油ガス（LPG）",係数!$B$3:$C$30,2,FALSE)/0.458)</f>
        <v>40</v>
      </c>
      <c r="D57" s="275">
        <f>IF($E11&lt;&gt;"LPG",VLOOKUP("都市ガス",係数!$B$3:$H$30,7,FALSE),VLOOKUP("液化石油ガス（LPG）",係数!$B$3:$H$30,7,FALSE)/0.458)</f>
        <v>2.0500000000000002E-3</v>
      </c>
      <c r="E57" s="270">
        <f t="shared" ref="E57:E75" si="128">(V57+AL57)*D57</f>
        <v>0</v>
      </c>
      <c r="F57" s="270">
        <f t="shared" si="121"/>
        <v>0</v>
      </c>
      <c r="H57" s="205" t="s">
        <v>50</v>
      </c>
      <c r="I57" s="251">
        <f>空調!D23*空調!K23*空調!L23</f>
        <v>0</v>
      </c>
      <c r="J57" s="252" t="str">
        <f>IFERROR(IF($C11="事務所",$I57*$D11*J11*J$4*860/$F11,$I57*$D11*J11*J$5*860/$F11),"ー")</f>
        <v>ー</v>
      </c>
      <c r="K57" s="252" t="str">
        <f t="shared" ref="K57:U57" si="129">IFERROR(IF($C11="事務所",$I57*$D11*K11*K$4*860/$F11,$I57*$D11*K11*K$5*860/$F11),"ー")</f>
        <v>ー</v>
      </c>
      <c r="L57" s="252" t="str">
        <f t="shared" si="129"/>
        <v>ー</v>
      </c>
      <c r="M57" s="252" t="str">
        <f t="shared" si="129"/>
        <v>ー</v>
      </c>
      <c r="N57" s="252" t="str">
        <f t="shared" si="129"/>
        <v>ー</v>
      </c>
      <c r="O57" s="252" t="str">
        <f t="shared" si="129"/>
        <v>ー</v>
      </c>
      <c r="P57" s="252" t="str">
        <f t="shared" si="129"/>
        <v>ー</v>
      </c>
      <c r="Q57" s="252" t="str">
        <f t="shared" si="129"/>
        <v>ー</v>
      </c>
      <c r="R57" s="252" t="str">
        <f t="shared" si="129"/>
        <v>ー</v>
      </c>
      <c r="S57" s="252" t="str">
        <f t="shared" si="129"/>
        <v>ー</v>
      </c>
      <c r="T57" s="252" t="str">
        <f t="shared" si="129"/>
        <v>ー</v>
      </c>
      <c r="U57" s="252" t="str">
        <f t="shared" si="129"/>
        <v>ー</v>
      </c>
      <c r="V57" s="252">
        <f t="shared" ref="V57:V75" si="130">SUM(J57:U57)</f>
        <v>0</v>
      </c>
      <c r="W57" s="180"/>
      <c r="X57" s="205" t="s">
        <v>50</v>
      </c>
      <c r="Y57" s="251">
        <f>空調!D23*空調!P23*空調!Q23</f>
        <v>0</v>
      </c>
      <c r="Z57" s="252" t="str">
        <f t="shared" ref="Z57:AJ57" si="131">IFERROR(IF($C11="事務所",$Y57*$D11*Z11*Z$4*860/$F11,$Y57*$D11*Z11*Z$5*860/$F11),"ー")</f>
        <v>ー</v>
      </c>
      <c r="AA57" s="252" t="str">
        <f t="shared" si="131"/>
        <v>ー</v>
      </c>
      <c r="AB57" s="252" t="str">
        <f t="shared" si="131"/>
        <v>ー</v>
      </c>
      <c r="AC57" s="252" t="str">
        <f t="shared" si="131"/>
        <v>ー</v>
      </c>
      <c r="AD57" s="252" t="str">
        <f t="shared" si="131"/>
        <v>ー</v>
      </c>
      <c r="AE57" s="252" t="str">
        <f t="shared" si="131"/>
        <v>ー</v>
      </c>
      <c r="AF57" s="252" t="str">
        <f t="shared" si="131"/>
        <v>ー</v>
      </c>
      <c r="AG57" s="252" t="str">
        <f t="shared" si="131"/>
        <v>ー</v>
      </c>
      <c r="AH57" s="252" t="str">
        <f>IFERROR(IF($C11="事務所",$Y57*$D11*AH11*AH$4*860/$F11,$Y57*$D11*AH11*AH$5*860/$F11),"ー")</f>
        <v>ー</v>
      </c>
      <c r="AI57" s="252" t="str">
        <f t="shared" si="131"/>
        <v>ー</v>
      </c>
      <c r="AJ57" s="252" t="str">
        <f t="shared" si="131"/>
        <v>ー</v>
      </c>
      <c r="AK57" s="252" t="str">
        <f>IFERROR(IF($C11="事務所",$Y57*$D11*AK11*AK$4*860/$F11,$Y57*$D11*AK11*AK$5*860/$F11),"ー")</f>
        <v>ー</v>
      </c>
      <c r="AL57" s="252">
        <f>SUM(Z57:AK57)</f>
        <v>0</v>
      </c>
      <c r="AM57" s="180"/>
      <c r="AN57" s="205" t="s">
        <v>50</v>
      </c>
      <c r="AO57" s="254">
        <f>IF($AR11&lt;&gt;"LPG",VLOOKUP("都市ガス",係数!$B$3:$C$30,2,FALSE),VLOOKUP("液化石油ガス（LPG）",係数!$B$3:$C$30,2,FALSE)/0.458)</f>
        <v>40</v>
      </c>
      <c r="AP57" s="254">
        <f>IF($AR11&lt;&gt;"LPG",VLOOKUP("都市ガス",係数!$B$3:$H$30,7,FALSE),VLOOKUP("液化石油ガス（LPG）",係数!$B$3:$H$30,7,FALSE)/0.458)</f>
        <v>2.0500000000000002E-3</v>
      </c>
      <c r="AQ57" s="270">
        <f t="shared" si="124"/>
        <v>0</v>
      </c>
      <c r="AR57" s="270">
        <f t="shared" si="125"/>
        <v>0</v>
      </c>
      <c r="AS57" s="277"/>
      <c r="AU57" s="205" t="s">
        <v>50</v>
      </c>
      <c r="AV57" s="251">
        <f>空調!X23*空調!AG23*空調!L23</f>
        <v>0</v>
      </c>
      <c r="AW57" s="252" t="str">
        <f t="shared" ref="AW57:AW75" si="132">IF(AND($AP11&lt;&gt;0,$AQ11&lt;&gt;0),IFERROR(J57*($AP11/$AQ11),"ー"),IFERROR(IF($C11="事務所",$AV57*$D11*AW11*AW$4*860/$AS11,$AV57*$D11*AW11*AW$5*860/$AS11),"ー"))</f>
        <v>ー</v>
      </c>
      <c r="AX57" s="252" t="str">
        <f t="shared" ref="AX57:AX75" si="133">IF(AND($AP11&lt;&gt;0,$AQ11&lt;&gt;0),IFERROR(K57*($AP11/$AQ11),"ー"),IFERROR(IF($C11="事務所",$AV57*$D11*AX11*AX$4*860/$AS11,$AV57*$D11*AX11*AX$5*860/$AS11),"ー"))</f>
        <v>ー</v>
      </c>
      <c r="AY57" s="252" t="str">
        <f t="shared" ref="AY57:AY75" si="134">IF(AND($AP11&lt;&gt;0,$AQ11&lt;&gt;0),IFERROR(L57*($AP11/$AQ11),"ー"),IFERROR(IF($C11="事務所",$AV57*$D11*AY11*AY$4*860/$AS11,$AV57*$D11*AY11*AY$5*860/$AS11),"ー"))</f>
        <v>ー</v>
      </c>
      <c r="AZ57" s="252" t="str">
        <f t="shared" ref="AZ57:AZ75" si="135">IF(AND($AP11&lt;&gt;0,$AQ11&lt;&gt;0),IFERROR(M57*($AP11/$AQ11),"ー"),IFERROR(IF($C11="事務所",$AV57*$D11*AZ11*AZ$4*860/$AS11,$AV57*$D11*AZ11*AZ$5*860/$AS11),"ー"))</f>
        <v>ー</v>
      </c>
      <c r="BA57" s="252" t="str">
        <f t="shared" ref="BA57:BA75" si="136">IF(AND($AP11&lt;&gt;0,$AQ11&lt;&gt;0),IFERROR(N57*($AP11/$AQ11),"ー"),IFERROR(IF($C11="事務所",$AV57*$D11*BA11*BA$4*860/$AS11,$AV57*$D11*BA11*BA$5*860/$AS11),"ー"))</f>
        <v>ー</v>
      </c>
      <c r="BB57" s="252" t="str">
        <f t="shared" ref="BB57:BB75" si="137">IF(AND($AP11&lt;&gt;0,$AQ11&lt;&gt;0),IFERROR(O57*($AP11/$AQ11),"ー"),IFERROR(IF($C11="事務所",$AV57*$D11*BB11*BB$4*860/$AS11,$AV57*$D11*BB11*BB$5*860/$AS11),"ー"))</f>
        <v>ー</v>
      </c>
      <c r="BC57" s="252" t="str">
        <f t="shared" ref="BC57:BC75" si="138">IF(AND($AP11&lt;&gt;0,$AQ11&lt;&gt;0),IFERROR(P57*($AP11/$AQ11),"ー"),IFERROR(IF($C11="事務所",$AV57*$D11*BC11*BC$4*860/$AS11,$AV57*$D11*BC11*BC$5*860/$AS11),"ー"))</f>
        <v>ー</v>
      </c>
      <c r="BD57" s="252" t="str">
        <f t="shared" ref="BD57:BD75" si="139">IF(AND($AP11&lt;&gt;0,$AQ11&lt;&gt;0),IFERROR(Q57*($AP11/$AQ11),"ー"),IFERROR(IF($C11="事務所",$AV57*$D11*BD11*BD$4*860/$AS11,$AV57*$D11*BD11*BD$5*860/$AS11),"ー"))</f>
        <v>ー</v>
      </c>
      <c r="BE57" s="252" t="str">
        <f t="shared" ref="BE57:BE75" si="140">IF(AND($AP11&lt;&gt;0,$AQ11&lt;&gt;0),IFERROR(R57*($AP11/$AQ11),"ー"),IFERROR(IF($C11="事務所",$AV57*$D11*BE11*BE$4*860/$AS11,$AV57*$D11*BE11*BE$5*860/$AS11),"ー"))</f>
        <v>ー</v>
      </c>
      <c r="BF57" s="252" t="str">
        <f t="shared" ref="BF57:BF75" si="141">IF(AND($AP11&lt;&gt;0,$AQ11&lt;&gt;0),IFERROR(S57*($AP11/$AQ11),"ー"),IFERROR(IF($C11="事務所",$AV57*$D11*BF11*BF$4*860/$AS11,$AV57*$D11*BF11*BF$5*860/$AS11),"ー"))</f>
        <v>ー</v>
      </c>
      <c r="BG57" s="252" t="str">
        <f t="shared" ref="BG57:BG75" si="142">IF(AND($AP11&lt;&gt;0,$AQ11&lt;&gt;0),IFERROR(T57*($AP11/$AQ11),"ー"),IFERROR(IF($C11="事務所",$AV57*$D11*BG11*BG$4*860/$AS11,$AV57*$D11*BG11*BG$5*860/$AS11),"ー"))</f>
        <v>ー</v>
      </c>
      <c r="BH57" s="252" t="str">
        <f t="shared" ref="BH57:BH74" si="143">IF(AND($AP11&lt;&gt;0,$AQ11&lt;&gt;0),IFERROR(U57*($AP11/$AQ11),"ー"),IFERROR(IF($C11="事務所",$AV57*$D11*BH11*BH$4*860/$AS11,$AV57*$D11*BH11*BH$5*860/$AS11),"ー"))</f>
        <v>ー</v>
      </c>
      <c r="BI57" s="252">
        <f t="shared" ref="BI57:BI75" si="144">SUM(AW57:BH57)</f>
        <v>0</v>
      </c>
      <c r="BJ57" s="180"/>
      <c r="BK57" s="205" t="s">
        <v>50</v>
      </c>
      <c r="BL57" s="251">
        <f>空調!X23*空調!AG23*空調!Q23</f>
        <v>0</v>
      </c>
      <c r="BM57" s="252" t="str">
        <f t="shared" ref="BM57:BM75" si="145">IF(AND($AP11&lt;&gt;0,$AQ11&lt;&gt;0),IFERROR(Z57*($AP11/$AQ11),"ー"),IFERROR(IF($C11="事務所",$BL57*BM11*BM$4*860/$AS11,$BL57*BM11*BM$5*860/$AS11),"ー"))</f>
        <v>ー</v>
      </c>
      <c r="BN57" s="252" t="str">
        <f t="shared" ref="BN57:BN75" si="146">IF(AND($AP11&lt;&gt;0,$AQ11&lt;&gt;0),IFERROR(AA57*($AP11/$AQ11),"ー"),IFERROR(IF($C11="事務所",$BL57*BN11*BN$4*860/$AS11,$BL57*BN11*BN$5*860/$AS11),"ー"))</f>
        <v>ー</v>
      </c>
      <c r="BO57" s="252" t="str">
        <f t="shared" ref="BO57:BO75" si="147">IF(AND($AP11&lt;&gt;0,$AQ11&lt;&gt;0),IFERROR(AB57*($AP11/$AQ11),"ー"),IFERROR(IF($C11="事務所",$BL57*BO11*BO$4*860/$AS11,$BL57*BO11*BO$5*860/$AS11),"ー"))</f>
        <v>ー</v>
      </c>
      <c r="BP57" s="252" t="str">
        <f t="shared" ref="BP57:BP75" si="148">IF(AND($AP11&lt;&gt;0,$AQ11&lt;&gt;0),IFERROR(AC57*($AP11/$AQ11),"ー"),IFERROR(IF($C11="事務所",$BL57*BP11*BP$4*860/$AS11,$BL57*BP11*BP$5*860/$AS11),"ー"))</f>
        <v>ー</v>
      </c>
      <c r="BQ57" s="252" t="str">
        <f t="shared" ref="BQ57:BQ75" si="149">IF(AND($AP11&lt;&gt;0,$AQ11&lt;&gt;0),IFERROR(AD57*($AP11/$AQ11),"ー"),IFERROR(IF($C11="事務所",$BL57*BQ11*BQ$4*860/$AS11,$BL57*BQ11*BQ$5*860/$AS11),"ー"))</f>
        <v>ー</v>
      </c>
      <c r="BR57" s="252" t="str">
        <f t="shared" ref="BR57:BR75" si="150">IF(AND($AP11&lt;&gt;0,$AQ11&lt;&gt;0),IFERROR(AE57*($AP11/$AQ11),"ー"),IFERROR(IF($C11="事務所",$BL57*BR11*BR$4*860/$AS11,$BL57*BR11*BR$5*860/$AS11),"ー"))</f>
        <v>ー</v>
      </c>
      <c r="BS57" s="252" t="str">
        <f t="shared" ref="BS57:BS75" si="151">IF(AND($AP11&lt;&gt;0,$AQ11&lt;&gt;0),IFERROR(AF57*($AP11/$AQ11),"ー"),IFERROR(IF($C11="事務所",$BL57*BS11*BS$4*860/$AS11,$BL57*BS11*BS$5*860/$AS11),"ー"))</f>
        <v>ー</v>
      </c>
      <c r="BT57" s="252" t="str">
        <f t="shared" ref="BT57:BT75" si="152">IF(AND($AP11&lt;&gt;0,$AQ11&lt;&gt;0),IFERROR(AG57*($AP11/$AQ11),"ー"),IFERROR(IF($C11="事務所",$BL57*BT11*BT$4*860/$AS11,$BL57*BT11*BT$5*860/$AS11),"ー"))</f>
        <v>ー</v>
      </c>
      <c r="BU57" s="252" t="str">
        <f t="shared" ref="BU57:BU75" si="153">IF(AND($AP11&lt;&gt;0,$AQ11&lt;&gt;0),IFERROR(AH57*($AP11/$AQ11),"ー"),IFERROR(IF($C11="事務所",$BL57*BU11*BU$4*860/$AS11,$BL57*BU11*BU$5*860/$AS11),"ー"))</f>
        <v>ー</v>
      </c>
      <c r="BV57" s="252" t="str">
        <f t="shared" ref="BV57:BV75" si="154">IF(AND($AP11&lt;&gt;0,$AQ11&lt;&gt;0),IFERROR(AI57*($AP11/$AQ11),"ー"),IFERROR(IF($C11="事務所",$BL57*BV11*BV$4*860/$AS11,$BL57*BV11*BV$5*860/$AS11),"ー"))</f>
        <v>ー</v>
      </c>
      <c r="BW57" s="252" t="str">
        <f t="shared" ref="BW57:BW75" si="155">IF(AND($AP11&lt;&gt;0,$AQ11&lt;&gt;0),IFERROR(AJ57*($AP11/$AQ11),"ー"),IFERROR(IF($C11="事務所",$BL57*BW11*BW$4*860/$AS11,$BL57*BW11*BW$5*860/$AS11),"ー"))</f>
        <v>ー</v>
      </c>
      <c r="BX57" s="252" t="str">
        <f t="shared" ref="BX57:BX75" si="156">IF(AND($AP11&lt;&gt;0,$AQ11&lt;&gt;0),IFERROR(AK57*($AP11/$AQ11),"ー"),IFERROR(IF($C11="事務所",$BL57*BX11*BX$4*860/$AS11,$BL57*BX11*BX$5*860/$AS11),"ー"))</f>
        <v>ー</v>
      </c>
      <c r="BY57" s="252">
        <f t="shared" ref="BY57:BY75" si="157">SUM(BM57:BX57)</f>
        <v>0</v>
      </c>
      <c r="BZ57" s="180"/>
    </row>
    <row r="58" spans="2:78">
      <c r="B58" s="205" t="s">
        <v>51</v>
      </c>
      <c r="C58" s="255">
        <f>IF($E12&lt;&gt;"LPG",VLOOKUP("都市ガス",係数!$B$3:$C$30,2,FALSE),VLOOKUP("液化石油ガス（LPG）",係数!$B$3:$C$30,2,FALSE)/0.458)</f>
        <v>40</v>
      </c>
      <c r="D58" s="275">
        <f>IF($E12&lt;&gt;"LPG",VLOOKUP("都市ガス",係数!$B$3:$H$30,7,FALSE),VLOOKUP("液化石油ガス（LPG）",係数!$B$3:$H$30,7,FALSE)/0.458)</f>
        <v>2.0500000000000002E-3</v>
      </c>
      <c r="E58" s="270">
        <f t="shared" si="128"/>
        <v>0</v>
      </c>
      <c r="F58" s="270">
        <f t="shared" si="121"/>
        <v>0</v>
      </c>
      <c r="H58" s="205" t="s">
        <v>51</v>
      </c>
      <c r="I58" s="251">
        <f>空調!D24*空調!K24*空調!L24</f>
        <v>0</v>
      </c>
      <c r="J58" s="252" t="str">
        <f t="shared" ref="J58:U58" si="158">IFERROR(IF($C12="事務所",$I58*$D12*J12*J$4*860/$F12,$I58*$D12*J12*J$5*860/$F12),"ー")</f>
        <v>ー</v>
      </c>
      <c r="K58" s="252" t="str">
        <f t="shared" si="158"/>
        <v>ー</v>
      </c>
      <c r="L58" s="252" t="str">
        <f t="shared" si="158"/>
        <v>ー</v>
      </c>
      <c r="M58" s="252" t="str">
        <f t="shared" si="158"/>
        <v>ー</v>
      </c>
      <c r="N58" s="252" t="str">
        <f t="shared" si="158"/>
        <v>ー</v>
      </c>
      <c r="O58" s="252" t="str">
        <f t="shared" si="158"/>
        <v>ー</v>
      </c>
      <c r="P58" s="252" t="str">
        <f t="shared" si="158"/>
        <v>ー</v>
      </c>
      <c r="Q58" s="252" t="str">
        <f t="shared" si="158"/>
        <v>ー</v>
      </c>
      <c r="R58" s="252" t="str">
        <f t="shared" si="158"/>
        <v>ー</v>
      </c>
      <c r="S58" s="252" t="str">
        <f t="shared" si="158"/>
        <v>ー</v>
      </c>
      <c r="T58" s="252" t="str">
        <f t="shared" si="158"/>
        <v>ー</v>
      </c>
      <c r="U58" s="252" t="str">
        <f t="shared" si="158"/>
        <v>ー</v>
      </c>
      <c r="V58" s="252">
        <f t="shared" si="130"/>
        <v>0</v>
      </c>
      <c r="W58" s="180"/>
      <c r="X58" s="205" t="s">
        <v>51</v>
      </c>
      <c r="Y58" s="251">
        <f>空調!D24*空調!P24*空調!Q24</f>
        <v>0</v>
      </c>
      <c r="Z58" s="252" t="str">
        <f t="shared" ref="Z58:AK58" si="159">IFERROR(IF($C12="事務所",$Y58*$D12*Z12*Z$4*860/$F12,$Y58*$D12*Z12*Z$5*860/$F12),"ー")</f>
        <v>ー</v>
      </c>
      <c r="AA58" s="252" t="str">
        <f t="shared" si="159"/>
        <v>ー</v>
      </c>
      <c r="AB58" s="252" t="str">
        <f t="shared" si="159"/>
        <v>ー</v>
      </c>
      <c r="AC58" s="252" t="str">
        <f t="shared" si="159"/>
        <v>ー</v>
      </c>
      <c r="AD58" s="252" t="str">
        <f t="shared" si="159"/>
        <v>ー</v>
      </c>
      <c r="AE58" s="252" t="str">
        <f t="shared" si="159"/>
        <v>ー</v>
      </c>
      <c r="AF58" s="252" t="str">
        <f t="shared" si="159"/>
        <v>ー</v>
      </c>
      <c r="AG58" s="252" t="str">
        <f t="shared" si="159"/>
        <v>ー</v>
      </c>
      <c r="AH58" s="252" t="str">
        <f t="shared" si="159"/>
        <v>ー</v>
      </c>
      <c r="AI58" s="252" t="str">
        <f t="shared" si="159"/>
        <v>ー</v>
      </c>
      <c r="AJ58" s="252" t="str">
        <f t="shared" si="159"/>
        <v>ー</v>
      </c>
      <c r="AK58" s="252" t="str">
        <f t="shared" si="159"/>
        <v>ー</v>
      </c>
      <c r="AL58" s="252">
        <f t="shared" ref="AL58:AL75" si="160">SUM(Z58:AK58)</f>
        <v>0</v>
      </c>
      <c r="AM58" s="180"/>
      <c r="AN58" s="205" t="s">
        <v>51</v>
      </c>
      <c r="AO58" s="254">
        <f>IF($AR12&lt;&gt;"LPG",VLOOKUP("都市ガス",係数!$B$3:$C$30,2,FALSE),VLOOKUP("液化石油ガス（LPG）",係数!$B$3:$C$30,2,FALSE)/0.458)</f>
        <v>40</v>
      </c>
      <c r="AP58" s="254">
        <f>IF($AR12&lt;&gt;"LPG",VLOOKUP("都市ガス",係数!$B$3:$H$30,7,FALSE),VLOOKUP("液化石油ガス（LPG）",係数!$B$3:$H$30,7,FALSE)/0.458)</f>
        <v>2.0500000000000002E-3</v>
      </c>
      <c r="AQ58" s="270">
        <f t="shared" si="124"/>
        <v>0</v>
      </c>
      <c r="AR58" s="270">
        <f t="shared" si="125"/>
        <v>0</v>
      </c>
      <c r="AS58" s="277"/>
      <c r="AU58" s="205" t="s">
        <v>51</v>
      </c>
      <c r="AV58" s="251">
        <f>空調!X24*空調!AG24*空調!L24</f>
        <v>0</v>
      </c>
      <c r="AW58" s="252" t="str">
        <f t="shared" si="132"/>
        <v>ー</v>
      </c>
      <c r="AX58" s="252" t="str">
        <f t="shared" si="133"/>
        <v>ー</v>
      </c>
      <c r="AY58" s="252" t="str">
        <f t="shared" si="134"/>
        <v>ー</v>
      </c>
      <c r="AZ58" s="252" t="str">
        <f t="shared" si="135"/>
        <v>ー</v>
      </c>
      <c r="BA58" s="252" t="str">
        <f t="shared" si="136"/>
        <v>ー</v>
      </c>
      <c r="BB58" s="252" t="str">
        <f t="shared" si="137"/>
        <v>ー</v>
      </c>
      <c r="BC58" s="252" t="str">
        <f t="shared" si="138"/>
        <v>ー</v>
      </c>
      <c r="BD58" s="252" t="str">
        <f t="shared" si="139"/>
        <v>ー</v>
      </c>
      <c r="BE58" s="252" t="str">
        <f t="shared" si="140"/>
        <v>ー</v>
      </c>
      <c r="BF58" s="252" t="str">
        <f t="shared" si="141"/>
        <v>ー</v>
      </c>
      <c r="BG58" s="252" t="str">
        <f t="shared" si="142"/>
        <v>ー</v>
      </c>
      <c r="BH58" s="252" t="str">
        <f t="shared" si="143"/>
        <v>ー</v>
      </c>
      <c r="BI58" s="252">
        <f t="shared" si="144"/>
        <v>0</v>
      </c>
      <c r="BJ58" s="180"/>
      <c r="BK58" s="205" t="s">
        <v>51</v>
      </c>
      <c r="BL58" s="251">
        <f>空調!X24*空調!AG24*空調!Q24</f>
        <v>0</v>
      </c>
      <c r="BM58" s="252" t="str">
        <f t="shared" si="145"/>
        <v>ー</v>
      </c>
      <c r="BN58" s="252" t="str">
        <f t="shared" si="146"/>
        <v>ー</v>
      </c>
      <c r="BO58" s="252" t="str">
        <f t="shared" si="147"/>
        <v>ー</v>
      </c>
      <c r="BP58" s="252" t="str">
        <f t="shared" si="148"/>
        <v>ー</v>
      </c>
      <c r="BQ58" s="252" t="str">
        <f t="shared" si="149"/>
        <v>ー</v>
      </c>
      <c r="BR58" s="252" t="str">
        <f t="shared" si="150"/>
        <v>ー</v>
      </c>
      <c r="BS58" s="252" t="str">
        <f t="shared" si="151"/>
        <v>ー</v>
      </c>
      <c r="BT58" s="252" t="str">
        <f t="shared" si="152"/>
        <v>ー</v>
      </c>
      <c r="BU58" s="252" t="str">
        <f t="shared" si="153"/>
        <v>ー</v>
      </c>
      <c r="BV58" s="252" t="str">
        <f t="shared" si="154"/>
        <v>ー</v>
      </c>
      <c r="BW58" s="252" t="str">
        <f t="shared" si="155"/>
        <v>ー</v>
      </c>
      <c r="BX58" s="252" t="str">
        <f t="shared" si="156"/>
        <v>ー</v>
      </c>
      <c r="BY58" s="252">
        <f t="shared" si="157"/>
        <v>0</v>
      </c>
      <c r="BZ58" s="180"/>
    </row>
    <row r="59" spans="2:78">
      <c r="B59" s="205" t="s">
        <v>52</v>
      </c>
      <c r="C59" s="255">
        <f>IF($E13&lt;&gt;"LPG",VLOOKUP("都市ガス",係数!$B$3:$C$30,2,FALSE),VLOOKUP("液化石油ガス（LPG）",係数!$B$3:$C$30,2,FALSE)/0.458)</f>
        <v>40</v>
      </c>
      <c r="D59" s="275">
        <f>IF($E13&lt;&gt;"LPG",VLOOKUP("都市ガス",係数!$B$3:$H$30,7,FALSE),VLOOKUP("液化石油ガス（LPG）",係数!$B$3:$H$30,7,FALSE)/0.458)</f>
        <v>2.0500000000000002E-3</v>
      </c>
      <c r="E59" s="270">
        <f t="shared" si="128"/>
        <v>0</v>
      </c>
      <c r="F59" s="270">
        <f t="shared" si="121"/>
        <v>0</v>
      </c>
      <c r="H59" s="205" t="s">
        <v>52</v>
      </c>
      <c r="I59" s="251">
        <f>空調!D25*空調!K25*空調!L25</f>
        <v>0</v>
      </c>
      <c r="J59" s="252" t="str">
        <f t="shared" ref="J59:U59" si="161">IFERROR(IF($C13="事務所",$I59*$D13*J13*J$4*860/$F13,$I59*$D13*J13*J$5*860/$F13),"ー")</f>
        <v>ー</v>
      </c>
      <c r="K59" s="252" t="str">
        <f t="shared" si="161"/>
        <v>ー</v>
      </c>
      <c r="L59" s="252" t="str">
        <f t="shared" si="161"/>
        <v>ー</v>
      </c>
      <c r="M59" s="252" t="str">
        <f t="shared" si="161"/>
        <v>ー</v>
      </c>
      <c r="N59" s="252" t="str">
        <f t="shared" si="161"/>
        <v>ー</v>
      </c>
      <c r="O59" s="252" t="str">
        <f t="shared" si="161"/>
        <v>ー</v>
      </c>
      <c r="P59" s="252" t="str">
        <f t="shared" si="161"/>
        <v>ー</v>
      </c>
      <c r="Q59" s="252" t="str">
        <f t="shared" si="161"/>
        <v>ー</v>
      </c>
      <c r="R59" s="252" t="str">
        <f t="shared" si="161"/>
        <v>ー</v>
      </c>
      <c r="S59" s="252" t="str">
        <f t="shared" si="161"/>
        <v>ー</v>
      </c>
      <c r="T59" s="252" t="str">
        <f t="shared" si="161"/>
        <v>ー</v>
      </c>
      <c r="U59" s="252" t="str">
        <f t="shared" si="161"/>
        <v>ー</v>
      </c>
      <c r="V59" s="252">
        <f t="shared" si="130"/>
        <v>0</v>
      </c>
      <c r="W59" s="180"/>
      <c r="X59" s="205" t="s">
        <v>52</v>
      </c>
      <c r="Y59" s="251">
        <f>空調!D25*空調!P25*空調!Q25</f>
        <v>0</v>
      </c>
      <c r="Z59" s="252" t="str">
        <f t="shared" ref="Z59:AK59" si="162">IFERROR(IF($C13="事務所",$Y59*$D13*Z13*Z$4*860/$F13,$Y59*$D13*Z13*Z$5*860/$F13),"ー")</f>
        <v>ー</v>
      </c>
      <c r="AA59" s="252" t="str">
        <f t="shared" si="162"/>
        <v>ー</v>
      </c>
      <c r="AB59" s="252" t="str">
        <f t="shared" si="162"/>
        <v>ー</v>
      </c>
      <c r="AC59" s="252" t="str">
        <f t="shared" si="162"/>
        <v>ー</v>
      </c>
      <c r="AD59" s="252" t="str">
        <f t="shared" si="162"/>
        <v>ー</v>
      </c>
      <c r="AE59" s="252" t="str">
        <f t="shared" si="162"/>
        <v>ー</v>
      </c>
      <c r="AF59" s="252" t="str">
        <f t="shared" si="162"/>
        <v>ー</v>
      </c>
      <c r="AG59" s="252" t="str">
        <f t="shared" si="162"/>
        <v>ー</v>
      </c>
      <c r="AH59" s="252" t="str">
        <f t="shared" si="162"/>
        <v>ー</v>
      </c>
      <c r="AI59" s="252" t="str">
        <f t="shared" si="162"/>
        <v>ー</v>
      </c>
      <c r="AJ59" s="252" t="str">
        <f t="shared" si="162"/>
        <v>ー</v>
      </c>
      <c r="AK59" s="252" t="str">
        <f t="shared" si="162"/>
        <v>ー</v>
      </c>
      <c r="AL59" s="252">
        <f t="shared" si="160"/>
        <v>0</v>
      </c>
      <c r="AM59" s="180"/>
      <c r="AN59" s="205" t="s">
        <v>52</v>
      </c>
      <c r="AO59" s="254">
        <f>IF($AR13&lt;&gt;"LPG",VLOOKUP("都市ガス",係数!$B$3:$C$30,2,FALSE),VLOOKUP("液化石油ガス（LPG）",係数!$B$3:$C$30,2,FALSE)/0.458)</f>
        <v>40</v>
      </c>
      <c r="AP59" s="254">
        <f>IF($AR13&lt;&gt;"LPG",VLOOKUP("都市ガス",係数!$B$3:$H$30,7,FALSE),VLOOKUP("液化石油ガス（LPG）",係数!$B$3:$H$30,7,FALSE)/0.458)</f>
        <v>2.0500000000000002E-3</v>
      </c>
      <c r="AQ59" s="270">
        <f t="shared" si="124"/>
        <v>0</v>
      </c>
      <c r="AR59" s="270">
        <f t="shared" si="125"/>
        <v>0</v>
      </c>
      <c r="AS59" s="277"/>
      <c r="AU59" s="205" t="s">
        <v>52</v>
      </c>
      <c r="AV59" s="251">
        <f>空調!X25*空調!AG25*空調!L25</f>
        <v>0</v>
      </c>
      <c r="AW59" s="252" t="str">
        <f t="shared" si="132"/>
        <v>ー</v>
      </c>
      <c r="AX59" s="252" t="str">
        <f t="shared" si="133"/>
        <v>ー</v>
      </c>
      <c r="AY59" s="252" t="str">
        <f t="shared" si="134"/>
        <v>ー</v>
      </c>
      <c r="AZ59" s="252" t="str">
        <f t="shared" si="135"/>
        <v>ー</v>
      </c>
      <c r="BA59" s="252" t="str">
        <f t="shared" si="136"/>
        <v>ー</v>
      </c>
      <c r="BB59" s="252" t="str">
        <f t="shared" si="137"/>
        <v>ー</v>
      </c>
      <c r="BC59" s="252" t="str">
        <f t="shared" si="138"/>
        <v>ー</v>
      </c>
      <c r="BD59" s="252" t="str">
        <f t="shared" si="139"/>
        <v>ー</v>
      </c>
      <c r="BE59" s="252" t="str">
        <f t="shared" si="140"/>
        <v>ー</v>
      </c>
      <c r="BF59" s="252" t="str">
        <f t="shared" si="141"/>
        <v>ー</v>
      </c>
      <c r="BG59" s="252" t="str">
        <f t="shared" si="142"/>
        <v>ー</v>
      </c>
      <c r="BH59" s="252" t="str">
        <f t="shared" si="143"/>
        <v>ー</v>
      </c>
      <c r="BI59" s="252">
        <f t="shared" si="144"/>
        <v>0</v>
      </c>
      <c r="BJ59" s="180"/>
      <c r="BK59" s="205" t="s">
        <v>52</v>
      </c>
      <c r="BL59" s="251">
        <f>空調!X25*空調!AG25*空調!Q25</f>
        <v>0</v>
      </c>
      <c r="BM59" s="252" t="str">
        <f t="shared" si="145"/>
        <v>ー</v>
      </c>
      <c r="BN59" s="252" t="str">
        <f t="shared" si="146"/>
        <v>ー</v>
      </c>
      <c r="BO59" s="252" t="str">
        <f t="shared" si="147"/>
        <v>ー</v>
      </c>
      <c r="BP59" s="252" t="str">
        <f t="shared" si="148"/>
        <v>ー</v>
      </c>
      <c r="BQ59" s="252" t="str">
        <f t="shared" si="149"/>
        <v>ー</v>
      </c>
      <c r="BR59" s="252" t="str">
        <f t="shared" si="150"/>
        <v>ー</v>
      </c>
      <c r="BS59" s="252" t="str">
        <f t="shared" si="151"/>
        <v>ー</v>
      </c>
      <c r="BT59" s="252" t="str">
        <f t="shared" si="152"/>
        <v>ー</v>
      </c>
      <c r="BU59" s="252" t="str">
        <f t="shared" si="153"/>
        <v>ー</v>
      </c>
      <c r="BV59" s="252" t="str">
        <f t="shared" si="154"/>
        <v>ー</v>
      </c>
      <c r="BW59" s="252" t="str">
        <f t="shared" si="155"/>
        <v>ー</v>
      </c>
      <c r="BX59" s="252" t="str">
        <f t="shared" si="156"/>
        <v>ー</v>
      </c>
      <c r="BY59" s="252">
        <f t="shared" si="157"/>
        <v>0</v>
      </c>
      <c r="BZ59" s="180"/>
    </row>
    <row r="60" spans="2:78">
      <c r="B60" s="205" t="s">
        <v>53</v>
      </c>
      <c r="C60" s="255">
        <f>IF($E14&lt;&gt;"LPG",VLOOKUP("都市ガス",係数!$B$3:$C$30,2,FALSE),VLOOKUP("液化石油ガス（LPG）",係数!$B$3:$C$30,2,FALSE)/0.458)</f>
        <v>40</v>
      </c>
      <c r="D60" s="275">
        <f>IF($E14&lt;&gt;"LPG",VLOOKUP("都市ガス",係数!$B$3:$H$30,7,FALSE),VLOOKUP("液化石油ガス（LPG）",係数!$B$3:$H$30,7,FALSE)/0.458)</f>
        <v>2.0500000000000002E-3</v>
      </c>
      <c r="E60" s="270">
        <f t="shared" si="128"/>
        <v>0</v>
      </c>
      <c r="F60" s="270">
        <f t="shared" si="121"/>
        <v>0</v>
      </c>
      <c r="H60" s="205" t="s">
        <v>53</v>
      </c>
      <c r="I60" s="251">
        <f>空調!D26*空調!K26*空調!L26</f>
        <v>0</v>
      </c>
      <c r="J60" s="252" t="str">
        <f t="shared" ref="J60:U60" si="163">IFERROR(IF($C14="事務所",$I60*$D14*J14*J$4*860/$F14,$I60*$D14*J14*J$5*860/$F14),"ー")</f>
        <v>ー</v>
      </c>
      <c r="K60" s="252" t="str">
        <f t="shared" si="163"/>
        <v>ー</v>
      </c>
      <c r="L60" s="252" t="str">
        <f t="shared" si="163"/>
        <v>ー</v>
      </c>
      <c r="M60" s="252" t="str">
        <f t="shared" si="163"/>
        <v>ー</v>
      </c>
      <c r="N60" s="252" t="str">
        <f t="shared" si="163"/>
        <v>ー</v>
      </c>
      <c r="O60" s="252" t="str">
        <f t="shared" si="163"/>
        <v>ー</v>
      </c>
      <c r="P60" s="252" t="str">
        <f t="shared" si="163"/>
        <v>ー</v>
      </c>
      <c r="Q60" s="252" t="str">
        <f t="shared" si="163"/>
        <v>ー</v>
      </c>
      <c r="R60" s="252" t="str">
        <f t="shared" si="163"/>
        <v>ー</v>
      </c>
      <c r="S60" s="252" t="str">
        <f t="shared" si="163"/>
        <v>ー</v>
      </c>
      <c r="T60" s="252" t="str">
        <f t="shared" si="163"/>
        <v>ー</v>
      </c>
      <c r="U60" s="252" t="str">
        <f t="shared" si="163"/>
        <v>ー</v>
      </c>
      <c r="V60" s="252">
        <f t="shared" si="130"/>
        <v>0</v>
      </c>
      <c r="W60" s="180"/>
      <c r="X60" s="205" t="s">
        <v>53</v>
      </c>
      <c r="Y60" s="251">
        <f>空調!D26*空調!P26*空調!Q26</f>
        <v>0</v>
      </c>
      <c r="Z60" s="252" t="str">
        <f t="shared" ref="Z60:AK60" si="164">IFERROR(IF($C14="事務所",$Y60*$D14*Z14*Z$4*860/$F14,$Y60*$D14*Z14*Z$5*860/$F14),"ー")</f>
        <v>ー</v>
      </c>
      <c r="AA60" s="252" t="str">
        <f t="shared" si="164"/>
        <v>ー</v>
      </c>
      <c r="AB60" s="252" t="str">
        <f t="shared" si="164"/>
        <v>ー</v>
      </c>
      <c r="AC60" s="252" t="str">
        <f t="shared" si="164"/>
        <v>ー</v>
      </c>
      <c r="AD60" s="252" t="str">
        <f t="shared" si="164"/>
        <v>ー</v>
      </c>
      <c r="AE60" s="252" t="str">
        <f t="shared" si="164"/>
        <v>ー</v>
      </c>
      <c r="AF60" s="252" t="str">
        <f t="shared" si="164"/>
        <v>ー</v>
      </c>
      <c r="AG60" s="252" t="str">
        <f t="shared" si="164"/>
        <v>ー</v>
      </c>
      <c r="AH60" s="252" t="str">
        <f t="shared" si="164"/>
        <v>ー</v>
      </c>
      <c r="AI60" s="252" t="str">
        <f t="shared" si="164"/>
        <v>ー</v>
      </c>
      <c r="AJ60" s="252" t="str">
        <f t="shared" si="164"/>
        <v>ー</v>
      </c>
      <c r="AK60" s="252" t="str">
        <f t="shared" si="164"/>
        <v>ー</v>
      </c>
      <c r="AL60" s="252">
        <f t="shared" si="160"/>
        <v>0</v>
      </c>
      <c r="AM60" s="180"/>
      <c r="AN60" s="205" t="s">
        <v>53</v>
      </c>
      <c r="AO60" s="254">
        <f>IF($AR14&lt;&gt;"LPG",VLOOKUP("都市ガス",係数!$B$3:$C$30,2,FALSE),VLOOKUP("液化石油ガス（LPG）",係数!$B$3:$C$30,2,FALSE)/0.458)</f>
        <v>40</v>
      </c>
      <c r="AP60" s="254">
        <f>IF($AR14&lt;&gt;"LPG",VLOOKUP("都市ガス",係数!$B$3:$H$30,7,FALSE),VLOOKUP("液化石油ガス（LPG）",係数!$B$3:$H$30,7,FALSE)/0.458)</f>
        <v>2.0500000000000002E-3</v>
      </c>
      <c r="AQ60" s="270">
        <f t="shared" si="124"/>
        <v>0</v>
      </c>
      <c r="AR60" s="270">
        <f t="shared" si="125"/>
        <v>0</v>
      </c>
      <c r="AS60" s="277"/>
      <c r="AU60" s="205" t="s">
        <v>53</v>
      </c>
      <c r="AV60" s="251">
        <f>空調!X26*空調!AG26*空調!L26</f>
        <v>0</v>
      </c>
      <c r="AW60" s="252" t="str">
        <f t="shared" si="132"/>
        <v>ー</v>
      </c>
      <c r="AX60" s="252" t="str">
        <f t="shared" si="133"/>
        <v>ー</v>
      </c>
      <c r="AY60" s="252" t="str">
        <f t="shared" si="134"/>
        <v>ー</v>
      </c>
      <c r="AZ60" s="252" t="str">
        <f t="shared" si="135"/>
        <v>ー</v>
      </c>
      <c r="BA60" s="252" t="str">
        <f t="shared" si="136"/>
        <v>ー</v>
      </c>
      <c r="BB60" s="252" t="str">
        <f t="shared" si="137"/>
        <v>ー</v>
      </c>
      <c r="BC60" s="252" t="str">
        <f t="shared" si="138"/>
        <v>ー</v>
      </c>
      <c r="BD60" s="252" t="str">
        <f t="shared" si="139"/>
        <v>ー</v>
      </c>
      <c r="BE60" s="252" t="str">
        <f t="shared" si="140"/>
        <v>ー</v>
      </c>
      <c r="BF60" s="252" t="str">
        <f t="shared" si="141"/>
        <v>ー</v>
      </c>
      <c r="BG60" s="252" t="str">
        <f t="shared" si="142"/>
        <v>ー</v>
      </c>
      <c r="BH60" s="252" t="str">
        <f t="shared" si="143"/>
        <v>ー</v>
      </c>
      <c r="BI60" s="252">
        <f t="shared" si="144"/>
        <v>0</v>
      </c>
      <c r="BJ60" s="180"/>
      <c r="BK60" s="205" t="s">
        <v>53</v>
      </c>
      <c r="BL60" s="251">
        <f>空調!X26*空調!AG26*空調!Q26</f>
        <v>0</v>
      </c>
      <c r="BM60" s="252" t="str">
        <f t="shared" si="145"/>
        <v>ー</v>
      </c>
      <c r="BN60" s="252" t="str">
        <f t="shared" si="146"/>
        <v>ー</v>
      </c>
      <c r="BO60" s="252" t="str">
        <f t="shared" si="147"/>
        <v>ー</v>
      </c>
      <c r="BP60" s="252" t="str">
        <f t="shared" si="148"/>
        <v>ー</v>
      </c>
      <c r="BQ60" s="252" t="str">
        <f t="shared" si="149"/>
        <v>ー</v>
      </c>
      <c r="BR60" s="252" t="str">
        <f t="shared" si="150"/>
        <v>ー</v>
      </c>
      <c r="BS60" s="252" t="str">
        <f t="shared" si="151"/>
        <v>ー</v>
      </c>
      <c r="BT60" s="252" t="str">
        <f t="shared" si="152"/>
        <v>ー</v>
      </c>
      <c r="BU60" s="252" t="str">
        <f t="shared" si="153"/>
        <v>ー</v>
      </c>
      <c r="BV60" s="252" t="str">
        <f t="shared" si="154"/>
        <v>ー</v>
      </c>
      <c r="BW60" s="252" t="str">
        <f t="shared" si="155"/>
        <v>ー</v>
      </c>
      <c r="BX60" s="252" t="str">
        <f t="shared" si="156"/>
        <v>ー</v>
      </c>
      <c r="BY60" s="252">
        <f t="shared" si="157"/>
        <v>0</v>
      </c>
      <c r="BZ60" s="180"/>
    </row>
    <row r="61" spans="2:78">
      <c r="B61" s="205" t="s">
        <v>54</v>
      </c>
      <c r="C61" s="255">
        <f>IF($E15&lt;&gt;"LPG",VLOOKUP("都市ガス",係数!$B$3:$C$30,2,FALSE),VLOOKUP("液化石油ガス（LPG）",係数!$B$3:$C$30,2,FALSE)/0.458)</f>
        <v>40</v>
      </c>
      <c r="D61" s="275">
        <f>IF($E15&lt;&gt;"LPG",VLOOKUP("都市ガス",係数!$B$3:$H$30,7,FALSE),VLOOKUP("液化石油ガス（LPG）",係数!$B$3:$H$30,7,FALSE)/0.458)</f>
        <v>2.0500000000000002E-3</v>
      </c>
      <c r="E61" s="270">
        <f t="shared" si="128"/>
        <v>0</v>
      </c>
      <c r="F61" s="270">
        <f t="shared" si="121"/>
        <v>0</v>
      </c>
      <c r="H61" s="205" t="s">
        <v>54</v>
      </c>
      <c r="I61" s="251">
        <f>空調!D27*空調!K27*空調!L27</f>
        <v>0</v>
      </c>
      <c r="J61" s="252" t="str">
        <f t="shared" ref="J61:U61" si="165">IFERROR(IF($C15="事務所",$I61*$D15*J15*J$4*860/$F15,$I61*$D15*J15*J$5*860/$F15),"ー")</f>
        <v>ー</v>
      </c>
      <c r="K61" s="252" t="str">
        <f t="shared" si="165"/>
        <v>ー</v>
      </c>
      <c r="L61" s="252" t="str">
        <f t="shared" si="165"/>
        <v>ー</v>
      </c>
      <c r="M61" s="252" t="str">
        <f t="shared" si="165"/>
        <v>ー</v>
      </c>
      <c r="N61" s="252" t="str">
        <f t="shared" si="165"/>
        <v>ー</v>
      </c>
      <c r="O61" s="252" t="str">
        <f t="shared" si="165"/>
        <v>ー</v>
      </c>
      <c r="P61" s="252" t="str">
        <f t="shared" si="165"/>
        <v>ー</v>
      </c>
      <c r="Q61" s="252" t="str">
        <f t="shared" si="165"/>
        <v>ー</v>
      </c>
      <c r="R61" s="252" t="str">
        <f t="shared" si="165"/>
        <v>ー</v>
      </c>
      <c r="S61" s="252" t="str">
        <f t="shared" si="165"/>
        <v>ー</v>
      </c>
      <c r="T61" s="252" t="str">
        <f t="shared" si="165"/>
        <v>ー</v>
      </c>
      <c r="U61" s="252" t="str">
        <f t="shared" si="165"/>
        <v>ー</v>
      </c>
      <c r="V61" s="252">
        <f t="shared" si="130"/>
        <v>0</v>
      </c>
      <c r="W61" s="180"/>
      <c r="X61" s="205" t="s">
        <v>54</v>
      </c>
      <c r="Y61" s="251">
        <f>空調!D27*空調!P27*空調!Q27</f>
        <v>0</v>
      </c>
      <c r="Z61" s="252" t="str">
        <f t="shared" ref="Z61:AK61" si="166">IFERROR(IF($C15="事務所",$Y61*$D15*Z15*Z$4*860/$F15,$Y61*$D15*Z15*Z$5*860/$F15),"ー")</f>
        <v>ー</v>
      </c>
      <c r="AA61" s="252" t="str">
        <f t="shared" si="166"/>
        <v>ー</v>
      </c>
      <c r="AB61" s="252" t="str">
        <f t="shared" si="166"/>
        <v>ー</v>
      </c>
      <c r="AC61" s="252" t="str">
        <f t="shared" si="166"/>
        <v>ー</v>
      </c>
      <c r="AD61" s="252" t="str">
        <f t="shared" si="166"/>
        <v>ー</v>
      </c>
      <c r="AE61" s="252" t="str">
        <f t="shared" si="166"/>
        <v>ー</v>
      </c>
      <c r="AF61" s="252" t="str">
        <f t="shared" si="166"/>
        <v>ー</v>
      </c>
      <c r="AG61" s="252" t="str">
        <f t="shared" si="166"/>
        <v>ー</v>
      </c>
      <c r="AH61" s="252" t="str">
        <f t="shared" si="166"/>
        <v>ー</v>
      </c>
      <c r="AI61" s="252" t="str">
        <f t="shared" si="166"/>
        <v>ー</v>
      </c>
      <c r="AJ61" s="252" t="str">
        <f t="shared" si="166"/>
        <v>ー</v>
      </c>
      <c r="AK61" s="252" t="str">
        <f t="shared" si="166"/>
        <v>ー</v>
      </c>
      <c r="AL61" s="252">
        <f t="shared" si="160"/>
        <v>0</v>
      </c>
      <c r="AM61" s="180"/>
      <c r="AN61" s="205" t="s">
        <v>54</v>
      </c>
      <c r="AO61" s="254">
        <f>IF($AR15&lt;&gt;"LPG",VLOOKUP("都市ガス",係数!$B$3:$C$30,2,FALSE),VLOOKUP("液化石油ガス（LPG）",係数!$B$3:$C$30,2,FALSE)/0.458)</f>
        <v>40</v>
      </c>
      <c r="AP61" s="254">
        <f>IF($AR15&lt;&gt;"LPG",VLOOKUP("都市ガス",係数!$B$3:$H$30,7,FALSE),VLOOKUP("液化石油ガス（LPG）",係数!$B$3:$H$30,7,FALSE)/0.458)</f>
        <v>2.0500000000000002E-3</v>
      </c>
      <c r="AQ61" s="270">
        <f t="shared" si="124"/>
        <v>0</v>
      </c>
      <c r="AR61" s="270">
        <f t="shared" si="125"/>
        <v>0</v>
      </c>
      <c r="AS61" s="277"/>
      <c r="AU61" s="205" t="s">
        <v>54</v>
      </c>
      <c r="AV61" s="251">
        <f>空調!X27*空調!AG27*空調!L27</f>
        <v>0</v>
      </c>
      <c r="AW61" s="252" t="str">
        <f t="shared" si="132"/>
        <v>ー</v>
      </c>
      <c r="AX61" s="252" t="str">
        <f t="shared" si="133"/>
        <v>ー</v>
      </c>
      <c r="AY61" s="252" t="str">
        <f t="shared" si="134"/>
        <v>ー</v>
      </c>
      <c r="AZ61" s="252" t="str">
        <f t="shared" si="135"/>
        <v>ー</v>
      </c>
      <c r="BA61" s="252" t="str">
        <f t="shared" si="136"/>
        <v>ー</v>
      </c>
      <c r="BB61" s="252" t="str">
        <f t="shared" si="137"/>
        <v>ー</v>
      </c>
      <c r="BC61" s="252" t="str">
        <f t="shared" si="138"/>
        <v>ー</v>
      </c>
      <c r="BD61" s="252" t="str">
        <f t="shared" si="139"/>
        <v>ー</v>
      </c>
      <c r="BE61" s="252" t="str">
        <f t="shared" si="140"/>
        <v>ー</v>
      </c>
      <c r="BF61" s="252" t="str">
        <f t="shared" si="141"/>
        <v>ー</v>
      </c>
      <c r="BG61" s="252" t="str">
        <f t="shared" si="142"/>
        <v>ー</v>
      </c>
      <c r="BH61" s="252" t="str">
        <f t="shared" si="143"/>
        <v>ー</v>
      </c>
      <c r="BI61" s="252">
        <f t="shared" si="144"/>
        <v>0</v>
      </c>
      <c r="BJ61" s="180"/>
      <c r="BK61" s="205" t="s">
        <v>54</v>
      </c>
      <c r="BL61" s="251">
        <f>空調!X27*空調!AG27*空調!Q27</f>
        <v>0</v>
      </c>
      <c r="BM61" s="252" t="str">
        <f t="shared" si="145"/>
        <v>ー</v>
      </c>
      <c r="BN61" s="252" t="str">
        <f t="shared" si="146"/>
        <v>ー</v>
      </c>
      <c r="BO61" s="252" t="str">
        <f t="shared" si="147"/>
        <v>ー</v>
      </c>
      <c r="BP61" s="252" t="str">
        <f t="shared" si="148"/>
        <v>ー</v>
      </c>
      <c r="BQ61" s="252" t="str">
        <f t="shared" si="149"/>
        <v>ー</v>
      </c>
      <c r="BR61" s="252" t="str">
        <f t="shared" si="150"/>
        <v>ー</v>
      </c>
      <c r="BS61" s="252" t="str">
        <f t="shared" si="151"/>
        <v>ー</v>
      </c>
      <c r="BT61" s="252" t="str">
        <f t="shared" si="152"/>
        <v>ー</v>
      </c>
      <c r="BU61" s="252" t="str">
        <f t="shared" si="153"/>
        <v>ー</v>
      </c>
      <c r="BV61" s="252" t="str">
        <f t="shared" si="154"/>
        <v>ー</v>
      </c>
      <c r="BW61" s="252" t="str">
        <f t="shared" si="155"/>
        <v>ー</v>
      </c>
      <c r="BX61" s="252" t="str">
        <f t="shared" si="156"/>
        <v>ー</v>
      </c>
      <c r="BY61" s="252">
        <f t="shared" si="157"/>
        <v>0</v>
      </c>
      <c r="BZ61" s="180"/>
    </row>
    <row r="62" spans="2:78">
      <c r="B62" s="205" t="s">
        <v>55</v>
      </c>
      <c r="C62" s="255">
        <f>IF($E16&lt;&gt;"LPG",VLOOKUP("都市ガス",係数!$B$3:$C$30,2,FALSE),VLOOKUP("液化石油ガス（LPG）",係数!$B$3:$C$30,2,FALSE)/0.458)</f>
        <v>40</v>
      </c>
      <c r="D62" s="275">
        <f>IF($E16&lt;&gt;"LPG",VLOOKUP("都市ガス",係数!$B$3:$H$30,7,FALSE),VLOOKUP("液化石油ガス（LPG）",係数!$B$3:$H$30,7,FALSE)/0.458)</f>
        <v>2.0500000000000002E-3</v>
      </c>
      <c r="E62" s="270">
        <f t="shared" si="128"/>
        <v>0</v>
      </c>
      <c r="F62" s="270">
        <f t="shared" si="121"/>
        <v>0</v>
      </c>
      <c r="H62" s="205" t="s">
        <v>55</v>
      </c>
      <c r="I62" s="251">
        <f>空調!D28*空調!K28*空調!L28</f>
        <v>0</v>
      </c>
      <c r="J62" s="252" t="str">
        <f t="shared" ref="J62:U62" si="167">IFERROR(IF($C16="事務所",$I62*$D16*J16*J$4*860/$F16,$I62*$D16*J16*J$5*860/$F16),"ー")</f>
        <v>ー</v>
      </c>
      <c r="K62" s="252" t="str">
        <f t="shared" si="167"/>
        <v>ー</v>
      </c>
      <c r="L62" s="252" t="str">
        <f t="shared" si="167"/>
        <v>ー</v>
      </c>
      <c r="M62" s="252" t="str">
        <f t="shared" si="167"/>
        <v>ー</v>
      </c>
      <c r="N62" s="252" t="str">
        <f t="shared" si="167"/>
        <v>ー</v>
      </c>
      <c r="O62" s="252" t="str">
        <f t="shared" si="167"/>
        <v>ー</v>
      </c>
      <c r="P62" s="252" t="str">
        <f t="shared" si="167"/>
        <v>ー</v>
      </c>
      <c r="Q62" s="252" t="str">
        <f t="shared" si="167"/>
        <v>ー</v>
      </c>
      <c r="R62" s="252" t="str">
        <f t="shared" si="167"/>
        <v>ー</v>
      </c>
      <c r="S62" s="252" t="str">
        <f t="shared" si="167"/>
        <v>ー</v>
      </c>
      <c r="T62" s="252" t="str">
        <f t="shared" si="167"/>
        <v>ー</v>
      </c>
      <c r="U62" s="252" t="str">
        <f t="shared" si="167"/>
        <v>ー</v>
      </c>
      <c r="V62" s="252">
        <f t="shared" si="130"/>
        <v>0</v>
      </c>
      <c r="W62" s="180"/>
      <c r="X62" s="205" t="s">
        <v>55</v>
      </c>
      <c r="Y62" s="251">
        <f>空調!D28*空調!P28*空調!Q28</f>
        <v>0</v>
      </c>
      <c r="Z62" s="252" t="str">
        <f t="shared" ref="Z62:AK62" si="168">IFERROR(IF($C16="事務所",$Y62*$D16*Z16*Z$4*860/$F16,$Y62*$D16*Z16*Z$5*860/$F16),"ー")</f>
        <v>ー</v>
      </c>
      <c r="AA62" s="252" t="str">
        <f t="shared" si="168"/>
        <v>ー</v>
      </c>
      <c r="AB62" s="252" t="str">
        <f t="shared" si="168"/>
        <v>ー</v>
      </c>
      <c r="AC62" s="252" t="str">
        <f t="shared" si="168"/>
        <v>ー</v>
      </c>
      <c r="AD62" s="252" t="str">
        <f t="shared" si="168"/>
        <v>ー</v>
      </c>
      <c r="AE62" s="252" t="str">
        <f t="shared" si="168"/>
        <v>ー</v>
      </c>
      <c r="AF62" s="252" t="str">
        <f t="shared" si="168"/>
        <v>ー</v>
      </c>
      <c r="AG62" s="252" t="str">
        <f t="shared" si="168"/>
        <v>ー</v>
      </c>
      <c r="AH62" s="252" t="str">
        <f t="shared" si="168"/>
        <v>ー</v>
      </c>
      <c r="AI62" s="252" t="str">
        <f t="shared" si="168"/>
        <v>ー</v>
      </c>
      <c r="AJ62" s="252" t="str">
        <f t="shared" si="168"/>
        <v>ー</v>
      </c>
      <c r="AK62" s="252" t="str">
        <f t="shared" si="168"/>
        <v>ー</v>
      </c>
      <c r="AL62" s="252">
        <f t="shared" si="160"/>
        <v>0</v>
      </c>
      <c r="AM62" s="180"/>
      <c r="AN62" s="205" t="s">
        <v>55</v>
      </c>
      <c r="AO62" s="254">
        <f>IF($AR16&lt;&gt;"LPG",VLOOKUP("都市ガス",係数!$B$3:$C$30,2,FALSE),VLOOKUP("液化石油ガス（LPG）",係数!$B$3:$C$30,2,FALSE)/0.458)</f>
        <v>40</v>
      </c>
      <c r="AP62" s="254">
        <f>IF($AR16&lt;&gt;"LPG",VLOOKUP("都市ガス",係数!$B$3:$H$30,7,FALSE),VLOOKUP("液化石油ガス（LPG）",係数!$B$3:$H$30,7,FALSE)/0.458)</f>
        <v>2.0500000000000002E-3</v>
      </c>
      <c r="AQ62" s="270">
        <f t="shared" si="124"/>
        <v>0</v>
      </c>
      <c r="AR62" s="270">
        <f t="shared" si="125"/>
        <v>0</v>
      </c>
      <c r="AS62" s="277"/>
      <c r="AU62" s="205" t="s">
        <v>55</v>
      </c>
      <c r="AV62" s="251">
        <f>空調!X28*空調!AG28*空調!L28</f>
        <v>0</v>
      </c>
      <c r="AW62" s="252" t="str">
        <f t="shared" si="132"/>
        <v>ー</v>
      </c>
      <c r="AX62" s="252" t="str">
        <f t="shared" si="133"/>
        <v>ー</v>
      </c>
      <c r="AY62" s="252" t="str">
        <f t="shared" si="134"/>
        <v>ー</v>
      </c>
      <c r="AZ62" s="252" t="str">
        <f t="shared" si="135"/>
        <v>ー</v>
      </c>
      <c r="BA62" s="252" t="str">
        <f t="shared" si="136"/>
        <v>ー</v>
      </c>
      <c r="BB62" s="252" t="str">
        <f t="shared" si="137"/>
        <v>ー</v>
      </c>
      <c r="BC62" s="252" t="str">
        <f t="shared" si="138"/>
        <v>ー</v>
      </c>
      <c r="BD62" s="252" t="str">
        <f t="shared" si="139"/>
        <v>ー</v>
      </c>
      <c r="BE62" s="252" t="str">
        <f t="shared" si="140"/>
        <v>ー</v>
      </c>
      <c r="BF62" s="252" t="str">
        <f t="shared" si="141"/>
        <v>ー</v>
      </c>
      <c r="BG62" s="252" t="str">
        <f t="shared" si="142"/>
        <v>ー</v>
      </c>
      <c r="BH62" s="252" t="str">
        <f t="shared" si="143"/>
        <v>ー</v>
      </c>
      <c r="BI62" s="252">
        <f t="shared" si="144"/>
        <v>0</v>
      </c>
      <c r="BJ62" s="180"/>
      <c r="BK62" s="205" t="s">
        <v>55</v>
      </c>
      <c r="BL62" s="251">
        <f>空調!X28*空調!AG28*空調!Q28</f>
        <v>0</v>
      </c>
      <c r="BM62" s="252" t="str">
        <f t="shared" si="145"/>
        <v>ー</v>
      </c>
      <c r="BN62" s="252" t="str">
        <f t="shared" si="146"/>
        <v>ー</v>
      </c>
      <c r="BO62" s="252" t="str">
        <f t="shared" si="147"/>
        <v>ー</v>
      </c>
      <c r="BP62" s="252" t="str">
        <f t="shared" si="148"/>
        <v>ー</v>
      </c>
      <c r="BQ62" s="252" t="str">
        <f t="shared" si="149"/>
        <v>ー</v>
      </c>
      <c r="BR62" s="252" t="str">
        <f t="shared" si="150"/>
        <v>ー</v>
      </c>
      <c r="BS62" s="252" t="str">
        <f t="shared" si="151"/>
        <v>ー</v>
      </c>
      <c r="BT62" s="252" t="str">
        <f t="shared" si="152"/>
        <v>ー</v>
      </c>
      <c r="BU62" s="252" t="str">
        <f t="shared" si="153"/>
        <v>ー</v>
      </c>
      <c r="BV62" s="252" t="str">
        <f t="shared" si="154"/>
        <v>ー</v>
      </c>
      <c r="BW62" s="252" t="str">
        <f t="shared" si="155"/>
        <v>ー</v>
      </c>
      <c r="BX62" s="252" t="str">
        <f t="shared" si="156"/>
        <v>ー</v>
      </c>
      <c r="BY62" s="252">
        <f t="shared" si="157"/>
        <v>0</v>
      </c>
      <c r="BZ62" s="180"/>
    </row>
    <row r="63" spans="2:78">
      <c r="B63" s="205" t="s">
        <v>56</v>
      </c>
      <c r="C63" s="255">
        <f>IF($E17&lt;&gt;"LPG",VLOOKUP("都市ガス",係数!$B$3:$C$30,2,FALSE),VLOOKUP("液化石油ガス（LPG）",係数!$B$3:$C$30,2,FALSE)/0.458)</f>
        <v>40</v>
      </c>
      <c r="D63" s="275">
        <f>IF($E17&lt;&gt;"LPG",VLOOKUP("都市ガス",係数!$B$3:$H$30,7,FALSE),VLOOKUP("液化石油ガス（LPG）",係数!$B$3:$H$30,7,FALSE)/0.458)</f>
        <v>2.0500000000000002E-3</v>
      </c>
      <c r="E63" s="270">
        <f t="shared" si="128"/>
        <v>0</v>
      </c>
      <c r="F63" s="270">
        <f t="shared" si="121"/>
        <v>0</v>
      </c>
      <c r="H63" s="205" t="s">
        <v>56</v>
      </c>
      <c r="I63" s="251">
        <f>空調!D29*空調!K29*空調!L29</f>
        <v>0</v>
      </c>
      <c r="J63" s="252" t="str">
        <f t="shared" ref="J63:U63" si="169">IFERROR(IF($C17="事務所",$I63*$D17*J17*J$4*860/$F17,$I63*$D17*J17*J$5*860/$F17),"ー")</f>
        <v>ー</v>
      </c>
      <c r="K63" s="252" t="str">
        <f t="shared" si="169"/>
        <v>ー</v>
      </c>
      <c r="L63" s="252" t="str">
        <f t="shared" si="169"/>
        <v>ー</v>
      </c>
      <c r="M63" s="252" t="str">
        <f t="shared" si="169"/>
        <v>ー</v>
      </c>
      <c r="N63" s="252" t="str">
        <f t="shared" si="169"/>
        <v>ー</v>
      </c>
      <c r="O63" s="252" t="str">
        <f t="shared" si="169"/>
        <v>ー</v>
      </c>
      <c r="P63" s="252" t="str">
        <f t="shared" si="169"/>
        <v>ー</v>
      </c>
      <c r="Q63" s="252" t="str">
        <f t="shared" si="169"/>
        <v>ー</v>
      </c>
      <c r="R63" s="252" t="str">
        <f t="shared" si="169"/>
        <v>ー</v>
      </c>
      <c r="S63" s="252" t="str">
        <f t="shared" si="169"/>
        <v>ー</v>
      </c>
      <c r="T63" s="252" t="str">
        <f t="shared" si="169"/>
        <v>ー</v>
      </c>
      <c r="U63" s="252" t="str">
        <f t="shared" si="169"/>
        <v>ー</v>
      </c>
      <c r="V63" s="252">
        <f t="shared" si="130"/>
        <v>0</v>
      </c>
      <c r="W63" s="180"/>
      <c r="X63" s="205" t="s">
        <v>56</v>
      </c>
      <c r="Y63" s="251">
        <f>空調!D29*空調!P29*空調!Q29</f>
        <v>0</v>
      </c>
      <c r="Z63" s="252" t="str">
        <f t="shared" ref="Z63:AK63" si="170">IFERROR(IF($C17="事務所",$Y63*$D17*Z17*Z$4*860/$F17,$Y63*$D17*Z17*Z$5*860/$F17),"ー")</f>
        <v>ー</v>
      </c>
      <c r="AA63" s="252" t="str">
        <f t="shared" si="170"/>
        <v>ー</v>
      </c>
      <c r="AB63" s="252" t="str">
        <f t="shared" si="170"/>
        <v>ー</v>
      </c>
      <c r="AC63" s="252" t="str">
        <f t="shared" si="170"/>
        <v>ー</v>
      </c>
      <c r="AD63" s="252" t="str">
        <f t="shared" si="170"/>
        <v>ー</v>
      </c>
      <c r="AE63" s="252" t="str">
        <f t="shared" si="170"/>
        <v>ー</v>
      </c>
      <c r="AF63" s="252" t="str">
        <f t="shared" si="170"/>
        <v>ー</v>
      </c>
      <c r="AG63" s="252" t="str">
        <f t="shared" si="170"/>
        <v>ー</v>
      </c>
      <c r="AH63" s="252" t="str">
        <f t="shared" si="170"/>
        <v>ー</v>
      </c>
      <c r="AI63" s="252" t="str">
        <f t="shared" si="170"/>
        <v>ー</v>
      </c>
      <c r="AJ63" s="252" t="str">
        <f t="shared" si="170"/>
        <v>ー</v>
      </c>
      <c r="AK63" s="252" t="str">
        <f t="shared" si="170"/>
        <v>ー</v>
      </c>
      <c r="AL63" s="252">
        <f t="shared" si="160"/>
        <v>0</v>
      </c>
      <c r="AM63" s="180"/>
      <c r="AN63" s="205" t="s">
        <v>56</v>
      </c>
      <c r="AO63" s="254">
        <f>IF($AR17&lt;&gt;"LPG",VLOOKUP("都市ガス",係数!$B$3:$C$30,2,FALSE),VLOOKUP("液化石油ガス（LPG）",係数!$B$3:$C$30,2,FALSE)/0.458)</f>
        <v>40</v>
      </c>
      <c r="AP63" s="254">
        <f>IF($AR17&lt;&gt;"LPG",VLOOKUP("都市ガス",係数!$B$3:$H$30,7,FALSE),VLOOKUP("液化石油ガス（LPG）",係数!$B$3:$H$30,7,FALSE)/0.458)</f>
        <v>2.0500000000000002E-3</v>
      </c>
      <c r="AQ63" s="270">
        <f t="shared" si="124"/>
        <v>0</v>
      </c>
      <c r="AR63" s="270">
        <f t="shared" si="125"/>
        <v>0</v>
      </c>
      <c r="AS63" s="277"/>
      <c r="AU63" s="205" t="s">
        <v>56</v>
      </c>
      <c r="AV63" s="251">
        <f>空調!X29*空調!AG29*空調!L29</f>
        <v>0</v>
      </c>
      <c r="AW63" s="252" t="str">
        <f t="shared" si="132"/>
        <v>ー</v>
      </c>
      <c r="AX63" s="252" t="str">
        <f t="shared" si="133"/>
        <v>ー</v>
      </c>
      <c r="AY63" s="252" t="str">
        <f t="shared" si="134"/>
        <v>ー</v>
      </c>
      <c r="AZ63" s="252" t="str">
        <f t="shared" si="135"/>
        <v>ー</v>
      </c>
      <c r="BA63" s="252" t="str">
        <f t="shared" si="136"/>
        <v>ー</v>
      </c>
      <c r="BB63" s="252" t="str">
        <f t="shared" si="137"/>
        <v>ー</v>
      </c>
      <c r="BC63" s="252" t="str">
        <f t="shared" si="138"/>
        <v>ー</v>
      </c>
      <c r="BD63" s="252" t="str">
        <f t="shared" si="139"/>
        <v>ー</v>
      </c>
      <c r="BE63" s="252" t="str">
        <f t="shared" si="140"/>
        <v>ー</v>
      </c>
      <c r="BF63" s="252" t="str">
        <f t="shared" si="141"/>
        <v>ー</v>
      </c>
      <c r="BG63" s="252" t="str">
        <f t="shared" si="142"/>
        <v>ー</v>
      </c>
      <c r="BH63" s="252" t="str">
        <f t="shared" si="143"/>
        <v>ー</v>
      </c>
      <c r="BI63" s="252">
        <f t="shared" si="144"/>
        <v>0</v>
      </c>
      <c r="BJ63" s="180"/>
      <c r="BK63" s="205" t="s">
        <v>56</v>
      </c>
      <c r="BL63" s="251">
        <f>空調!X29*空調!AG29*空調!Q29</f>
        <v>0</v>
      </c>
      <c r="BM63" s="252" t="str">
        <f t="shared" si="145"/>
        <v>ー</v>
      </c>
      <c r="BN63" s="252" t="str">
        <f t="shared" si="146"/>
        <v>ー</v>
      </c>
      <c r="BO63" s="252" t="str">
        <f t="shared" si="147"/>
        <v>ー</v>
      </c>
      <c r="BP63" s="252" t="str">
        <f t="shared" si="148"/>
        <v>ー</v>
      </c>
      <c r="BQ63" s="252" t="str">
        <f t="shared" si="149"/>
        <v>ー</v>
      </c>
      <c r="BR63" s="252" t="str">
        <f t="shared" si="150"/>
        <v>ー</v>
      </c>
      <c r="BS63" s="252" t="str">
        <f t="shared" si="151"/>
        <v>ー</v>
      </c>
      <c r="BT63" s="252" t="str">
        <f t="shared" si="152"/>
        <v>ー</v>
      </c>
      <c r="BU63" s="252" t="str">
        <f t="shared" si="153"/>
        <v>ー</v>
      </c>
      <c r="BV63" s="252" t="str">
        <f t="shared" si="154"/>
        <v>ー</v>
      </c>
      <c r="BW63" s="252" t="str">
        <f t="shared" si="155"/>
        <v>ー</v>
      </c>
      <c r="BX63" s="252" t="str">
        <f t="shared" si="156"/>
        <v>ー</v>
      </c>
      <c r="BY63" s="252">
        <f t="shared" si="157"/>
        <v>0</v>
      </c>
      <c r="BZ63" s="180"/>
    </row>
    <row r="64" spans="2:78">
      <c r="B64" s="205" t="s">
        <v>57</v>
      </c>
      <c r="C64" s="255">
        <f>IF($E18&lt;&gt;"LPG",VLOOKUP("都市ガス",係数!$B$3:$C$30,2,FALSE),VLOOKUP("液化石油ガス（LPG）",係数!$B$3:$C$30,2,FALSE)/0.458)</f>
        <v>40</v>
      </c>
      <c r="D64" s="275">
        <f>IF($E18&lt;&gt;"LPG",VLOOKUP("都市ガス",係数!$B$3:$H$30,7,FALSE),VLOOKUP("液化石油ガス（LPG）",係数!$B$3:$H$30,7,FALSE)/0.458)</f>
        <v>2.0500000000000002E-3</v>
      </c>
      <c r="E64" s="270">
        <f t="shared" si="128"/>
        <v>0</v>
      </c>
      <c r="F64" s="270">
        <f t="shared" si="121"/>
        <v>0</v>
      </c>
      <c r="H64" s="205" t="s">
        <v>57</v>
      </c>
      <c r="I64" s="251">
        <f>空調!D30*空調!K30*空調!L30</f>
        <v>0</v>
      </c>
      <c r="J64" s="252" t="str">
        <f t="shared" ref="J64:U64" si="171">IFERROR(IF($C18="事務所",$I64*$D18*J18*J$4*860/$F18,$I64*$D18*J18*J$5*860/$F18),"ー")</f>
        <v>ー</v>
      </c>
      <c r="K64" s="252" t="str">
        <f t="shared" si="171"/>
        <v>ー</v>
      </c>
      <c r="L64" s="252" t="str">
        <f t="shared" si="171"/>
        <v>ー</v>
      </c>
      <c r="M64" s="252" t="str">
        <f t="shared" si="171"/>
        <v>ー</v>
      </c>
      <c r="N64" s="252" t="str">
        <f t="shared" si="171"/>
        <v>ー</v>
      </c>
      <c r="O64" s="252" t="str">
        <f t="shared" si="171"/>
        <v>ー</v>
      </c>
      <c r="P64" s="252" t="str">
        <f t="shared" si="171"/>
        <v>ー</v>
      </c>
      <c r="Q64" s="252" t="str">
        <f t="shared" si="171"/>
        <v>ー</v>
      </c>
      <c r="R64" s="252" t="str">
        <f t="shared" si="171"/>
        <v>ー</v>
      </c>
      <c r="S64" s="252" t="str">
        <f t="shared" si="171"/>
        <v>ー</v>
      </c>
      <c r="T64" s="252" t="str">
        <f t="shared" si="171"/>
        <v>ー</v>
      </c>
      <c r="U64" s="252" t="str">
        <f t="shared" si="171"/>
        <v>ー</v>
      </c>
      <c r="V64" s="252">
        <f t="shared" si="130"/>
        <v>0</v>
      </c>
      <c r="W64" s="180"/>
      <c r="X64" s="205" t="s">
        <v>57</v>
      </c>
      <c r="Y64" s="251">
        <f>空調!D30*空調!P30*空調!Q30</f>
        <v>0</v>
      </c>
      <c r="Z64" s="252" t="str">
        <f t="shared" ref="Z64:AK64" si="172">IFERROR(IF($C18="事務所",$Y64*$D18*Z18*Z$4*860/$F18,$Y64*$D18*Z18*Z$5*860/$F18),"ー")</f>
        <v>ー</v>
      </c>
      <c r="AA64" s="252" t="str">
        <f t="shared" si="172"/>
        <v>ー</v>
      </c>
      <c r="AB64" s="252" t="str">
        <f t="shared" si="172"/>
        <v>ー</v>
      </c>
      <c r="AC64" s="252" t="str">
        <f t="shared" si="172"/>
        <v>ー</v>
      </c>
      <c r="AD64" s="252" t="str">
        <f t="shared" si="172"/>
        <v>ー</v>
      </c>
      <c r="AE64" s="252" t="str">
        <f t="shared" si="172"/>
        <v>ー</v>
      </c>
      <c r="AF64" s="252" t="str">
        <f t="shared" si="172"/>
        <v>ー</v>
      </c>
      <c r="AG64" s="252" t="str">
        <f t="shared" si="172"/>
        <v>ー</v>
      </c>
      <c r="AH64" s="252" t="str">
        <f t="shared" si="172"/>
        <v>ー</v>
      </c>
      <c r="AI64" s="252" t="str">
        <f t="shared" si="172"/>
        <v>ー</v>
      </c>
      <c r="AJ64" s="252" t="str">
        <f t="shared" si="172"/>
        <v>ー</v>
      </c>
      <c r="AK64" s="252" t="str">
        <f t="shared" si="172"/>
        <v>ー</v>
      </c>
      <c r="AL64" s="252">
        <f t="shared" si="160"/>
        <v>0</v>
      </c>
      <c r="AM64" s="180"/>
      <c r="AN64" s="205" t="s">
        <v>57</v>
      </c>
      <c r="AO64" s="254">
        <f>IF($AR18&lt;&gt;"LPG",VLOOKUP("都市ガス",係数!$B$3:$C$30,2,FALSE),VLOOKUP("液化石油ガス（LPG）",係数!$B$3:$C$30,2,FALSE)/0.458)</f>
        <v>40</v>
      </c>
      <c r="AP64" s="254">
        <f>IF($AR18&lt;&gt;"LPG",VLOOKUP("都市ガス",係数!$B$3:$H$30,7,FALSE),VLOOKUP("液化石油ガス（LPG）",係数!$B$3:$H$30,7,FALSE)/0.458)</f>
        <v>2.0500000000000002E-3</v>
      </c>
      <c r="AQ64" s="270">
        <f t="shared" si="124"/>
        <v>0</v>
      </c>
      <c r="AR64" s="270">
        <f t="shared" si="125"/>
        <v>0</v>
      </c>
      <c r="AS64" s="277"/>
      <c r="AU64" s="205" t="s">
        <v>57</v>
      </c>
      <c r="AV64" s="251">
        <f>空調!X30*空調!AG30*空調!L30</f>
        <v>0</v>
      </c>
      <c r="AW64" s="252" t="str">
        <f t="shared" si="132"/>
        <v>ー</v>
      </c>
      <c r="AX64" s="252" t="str">
        <f t="shared" si="133"/>
        <v>ー</v>
      </c>
      <c r="AY64" s="252" t="str">
        <f t="shared" si="134"/>
        <v>ー</v>
      </c>
      <c r="AZ64" s="252" t="str">
        <f t="shared" si="135"/>
        <v>ー</v>
      </c>
      <c r="BA64" s="252" t="str">
        <f t="shared" si="136"/>
        <v>ー</v>
      </c>
      <c r="BB64" s="252" t="str">
        <f t="shared" si="137"/>
        <v>ー</v>
      </c>
      <c r="BC64" s="252" t="str">
        <f t="shared" si="138"/>
        <v>ー</v>
      </c>
      <c r="BD64" s="252" t="str">
        <f t="shared" si="139"/>
        <v>ー</v>
      </c>
      <c r="BE64" s="252" t="str">
        <f t="shared" si="140"/>
        <v>ー</v>
      </c>
      <c r="BF64" s="252" t="str">
        <f t="shared" si="141"/>
        <v>ー</v>
      </c>
      <c r="BG64" s="252" t="str">
        <f t="shared" si="142"/>
        <v>ー</v>
      </c>
      <c r="BH64" s="252" t="str">
        <f t="shared" si="143"/>
        <v>ー</v>
      </c>
      <c r="BI64" s="252">
        <f t="shared" si="144"/>
        <v>0</v>
      </c>
      <c r="BJ64" s="180"/>
      <c r="BK64" s="205" t="s">
        <v>57</v>
      </c>
      <c r="BL64" s="251">
        <f>空調!X30*空調!AG30*空調!Q30</f>
        <v>0</v>
      </c>
      <c r="BM64" s="252" t="str">
        <f t="shared" si="145"/>
        <v>ー</v>
      </c>
      <c r="BN64" s="252" t="str">
        <f t="shared" si="146"/>
        <v>ー</v>
      </c>
      <c r="BO64" s="252" t="str">
        <f t="shared" si="147"/>
        <v>ー</v>
      </c>
      <c r="BP64" s="252" t="str">
        <f t="shared" si="148"/>
        <v>ー</v>
      </c>
      <c r="BQ64" s="252" t="str">
        <f t="shared" si="149"/>
        <v>ー</v>
      </c>
      <c r="BR64" s="252" t="str">
        <f t="shared" si="150"/>
        <v>ー</v>
      </c>
      <c r="BS64" s="252" t="str">
        <f t="shared" si="151"/>
        <v>ー</v>
      </c>
      <c r="BT64" s="252" t="str">
        <f t="shared" si="152"/>
        <v>ー</v>
      </c>
      <c r="BU64" s="252" t="str">
        <f t="shared" si="153"/>
        <v>ー</v>
      </c>
      <c r="BV64" s="252" t="str">
        <f t="shared" si="154"/>
        <v>ー</v>
      </c>
      <c r="BW64" s="252" t="str">
        <f t="shared" si="155"/>
        <v>ー</v>
      </c>
      <c r="BX64" s="252" t="str">
        <f t="shared" si="156"/>
        <v>ー</v>
      </c>
      <c r="BY64" s="252">
        <f t="shared" si="157"/>
        <v>0</v>
      </c>
      <c r="BZ64" s="180"/>
    </row>
    <row r="65" spans="1:78">
      <c r="B65" s="205" t="s">
        <v>58</v>
      </c>
      <c r="C65" s="255">
        <f>IF($E19&lt;&gt;"LPG",VLOOKUP("都市ガス",係数!$B$3:$C$30,2,FALSE),VLOOKUP("液化石油ガス（LPG）",係数!$B$3:$C$30,2,FALSE)/0.458)</f>
        <v>40</v>
      </c>
      <c r="D65" s="275">
        <f>IF($E19&lt;&gt;"LPG",VLOOKUP("都市ガス",係数!$B$3:$H$30,7,FALSE),VLOOKUP("液化石油ガス（LPG）",係数!$B$3:$H$30,7,FALSE)/0.458)</f>
        <v>2.0500000000000002E-3</v>
      </c>
      <c r="E65" s="270">
        <f t="shared" si="128"/>
        <v>0</v>
      </c>
      <c r="F65" s="270">
        <f t="shared" si="121"/>
        <v>0</v>
      </c>
      <c r="H65" s="205" t="s">
        <v>58</v>
      </c>
      <c r="I65" s="251">
        <f>空調!D31*空調!K31*空調!L31</f>
        <v>0</v>
      </c>
      <c r="J65" s="252" t="str">
        <f t="shared" ref="J65:U65" si="173">IFERROR(IF($C19="事務所",$I65*$D19*J19*J$4*860/$F19,$I65*$D19*J19*J$5*860/$F19),"ー")</f>
        <v>ー</v>
      </c>
      <c r="K65" s="252" t="str">
        <f t="shared" si="173"/>
        <v>ー</v>
      </c>
      <c r="L65" s="252" t="str">
        <f t="shared" si="173"/>
        <v>ー</v>
      </c>
      <c r="M65" s="252" t="str">
        <f t="shared" si="173"/>
        <v>ー</v>
      </c>
      <c r="N65" s="252" t="str">
        <f t="shared" si="173"/>
        <v>ー</v>
      </c>
      <c r="O65" s="252" t="str">
        <f t="shared" si="173"/>
        <v>ー</v>
      </c>
      <c r="P65" s="252" t="str">
        <f t="shared" si="173"/>
        <v>ー</v>
      </c>
      <c r="Q65" s="252" t="str">
        <f t="shared" si="173"/>
        <v>ー</v>
      </c>
      <c r="R65" s="252" t="str">
        <f t="shared" si="173"/>
        <v>ー</v>
      </c>
      <c r="S65" s="252" t="str">
        <f t="shared" si="173"/>
        <v>ー</v>
      </c>
      <c r="T65" s="252" t="str">
        <f t="shared" si="173"/>
        <v>ー</v>
      </c>
      <c r="U65" s="252" t="str">
        <f t="shared" si="173"/>
        <v>ー</v>
      </c>
      <c r="V65" s="252">
        <f t="shared" si="130"/>
        <v>0</v>
      </c>
      <c r="W65" s="180"/>
      <c r="X65" s="205" t="s">
        <v>58</v>
      </c>
      <c r="Y65" s="251">
        <f>空調!D31*空調!P31*空調!Q31</f>
        <v>0</v>
      </c>
      <c r="Z65" s="252" t="str">
        <f t="shared" ref="Z65:AK65" si="174">IFERROR(IF($C19="事務所",$Y65*$D19*Z19*Z$4*860/$F19,$Y65*$D19*Z19*Z$5*860/$F19),"ー")</f>
        <v>ー</v>
      </c>
      <c r="AA65" s="252" t="str">
        <f t="shared" si="174"/>
        <v>ー</v>
      </c>
      <c r="AB65" s="252" t="str">
        <f t="shared" si="174"/>
        <v>ー</v>
      </c>
      <c r="AC65" s="252" t="str">
        <f t="shared" si="174"/>
        <v>ー</v>
      </c>
      <c r="AD65" s="252" t="str">
        <f t="shared" si="174"/>
        <v>ー</v>
      </c>
      <c r="AE65" s="252" t="str">
        <f t="shared" si="174"/>
        <v>ー</v>
      </c>
      <c r="AF65" s="252" t="str">
        <f t="shared" si="174"/>
        <v>ー</v>
      </c>
      <c r="AG65" s="252" t="str">
        <f t="shared" si="174"/>
        <v>ー</v>
      </c>
      <c r="AH65" s="252" t="str">
        <f t="shared" si="174"/>
        <v>ー</v>
      </c>
      <c r="AI65" s="252" t="str">
        <f t="shared" si="174"/>
        <v>ー</v>
      </c>
      <c r="AJ65" s="252" t="str">
        <f t="shared" si="174"/>
        <v>ー</v>
      </c>
      <c r="AK65" s="252" t="str">
        <f t="shared" si="174"/>
        <v>ー</v>
      </c>
      <c r="AL65" s="252">
        <f t="shared" si="160"/>
        <v>0</v>
      </c>
      <c r="AM65" s="180"/>
      <c r="AN65" s="205" t="s">
        <v>58</v>
      </c>
      <c r="AO65" s="254">
        <f>IF($AR19&lt;&gt;"LPG",VLOOKUP("都市ガス",係数!$B$3:$C$30,2,FALSE),VLOOKUP("液化石油ガス（LPG）",係数!$B$3:$C$30,2,FALSE)/0.458)</f>
        <v>40</v>
      </c>
      <c r="AP65" s="254">
        <f>IF($AR19&lt;&gt;"LPG",VLOOKUP("都市ガス",係数!$B$3:$H$30,7,FALSE),VLOOKUP("液化石油ガス（LPG）",係数!$B$3:$H$30,7,FALSE)/0.458)</f>
        <v>2.0500000000000002E-3</v>
      </c>
      <c r="AQ65" s="270">
        <f t="shared" si="124"/>
        <v>0</v>
      </c>
      <c r="AR65" s="270">
        <f t="shared" si="125"/>
        <v>0</v>
      </c>
      <c r="AS65" s="277"/>
      <c r="AU65" s="205" t="s">
        <v>58</v>
      </c>
      <c r="AV65" s="251">
        <f>空調!X31*空調!AG31*空調!L31</f>
        <v>0</v>
      </c>
      <c r="AW65" s="252" t="str">
        <f t="shared" si="132"/>
        <v>ー</v>
      </c>
      <c r="AX65" s="252" t="str">
        <f t="shared" si="133"/>
        <v>ー</v>
      </c>
      <c r="AY65" s="252" t="str">
        <f t="shared" si="134"/>
        <v>ー</v>
      </c>
      <c r="AZ65" s="252" t="str">
        <f t="shared" si="135"/>
        <v>ー</v>
      </c>
      <c r="BA65" s="252" t="str">
        <f t="shared" si="136"/>
        <v>ー</v>
      </c>
      <c r="BB65" s="252" t="str">
        <f t="shared" si="137"/>
        <v>ー</v>
      </c>
      <c r="BC65" s="252" t="str">
        <f t="shared" si="138"/>
        <v>ー</v>
      </c>
      <c r="BD65" s="252" t="str">
        <f t="shared" si="139"/>
        <v>ー</v>
      </c>
      <c r="BE65" s="252" t="str">
        <f t="shared" si="140"/>
        <v>ー</v>
      </c>
      <c r="BF65" s="252" t="str">
        <f t="shared" si="141"/>
        <v>ー</v>
      </c>
      <c r="BG65" s="252" t="str">
        <f t="shared" si="142"/>
        <v>ー</v>
      </c>
      <c r="BH65" s="252" t="str">
        <f t="shared" si="143"/>
        <v>ー</v>
      </c>
      <c r="BI65" s="252">
        <f t="shared" si="144"/>
        <v>0</v>
      </c>
      <c r="BJ65" s="180"/>
      <c r="BK65" s="205" t="s">
        <v>58</v>
      </c>
      <c r="BL65" s="251">
        <f>空調!X31*空調!AG31*空調!Q31</f>
        <v>0</v>
      </c>
      <c r="BM65" s="252" t="str">
        <f t="shared" si="145"/>
        <v>ー</v>
      </c>
      <c r="BN65" s="252" t="str">
        <f t="shared" si="146"/>
        <v>ー</v>
      </c>
      <c r="BO65" s="252" t="str">
        <f t="shared" si="147"/>
        <v>ー</v>
      </c>
      <c r="BP65" s="252" t="str">
        <f t="shared" si="148"/>
        <v>ー</v>
      </c>
      <c r="BQ65" s="252" t="str">
        <f t="shared" si="149"/>
        <v>ー</v>
      </c>
      <c r="BR65" s="252" t="str">
        <f t="shared" si="150"/>
        <v>ー</v>
      </c>
      <c r="BS65" s="252" t="str">
        <f t="shared" si="151"/>
        <v>ー</v>
      </c>
      <c r="BT65" s="252" t="str">
        <f t="shared" si="152"/>
        <v>ー</v>
      </c>
      <c r="BU65" s="252" t="str">
        <f t="shared" si="153"/>
        <v>ー</v>
      </c>
      <c r="BV65" s="252" t="str">
        <f t="shared" si="154"/>
        <v>ー</v>
      </c>
      <c r="BW65" s="252" t="str">
        <f t="shared" si="155"/>
        <v>ー</v>
      </c>
      <c r="BX65" s="252" t="str">
        <f t="shared" si="156"/>
        <v>ー</v>
      </c>
      <c r="BY65" s="252">
        <f t="shared" si="157"/>
        <v>0</v>
      </c>
      <c r="BZ65" s="180"/>
    </row>
    <row r="66" spans="1:78">
      <c r="B66" s="205" t="s">
        <v>59</v>
      </c>
      <c r="C66" s="255">
        <f>IF($E20&lt;&gt;"LPG",VLOOKUP("都市ガス",係数!$B$3:$C$30,2,FALSE),VLOOKUP("液化石油ガス（LPG）",係数!$B$3:$C$30,2,FALSE)/0.458)</f>
        <v>40</v>
      </c>
      <c r="D66" s="275">
        <f>IF($E20&lt;&gt;"LPG",VLOOKUP("都市ガス",係数!$B$3:$H$30,7,FALSE),VLOOKUP("液化石油ガス（LPG）",係数!$B$3:$H$30,7,FALSE)/0.458)</f>
        <v>2.0500000000000002E-3</v>
      </c>
      <c r="E66" s="270">
        <f t="shared" si="128"/>
        <v>0</v>
      </c>
      <c r="F66" s="270">
        <f t="shared" si="121"/>
        <v>0</v>
      </c>
      <c r="H66" s="205" t="s">
        <v>59</v>
      </c>
      <c r="I66" s="251">
        <f>空調!D32*空調!K32*空調!L32</f>
        <v>0</v>
      </c>
      <c r="J66" s="252" t="str">
        <f t="shared" ref="J66:U66" si="175">IFERROR(IF($C20="事務所",$I66*$D20*J20*J$4*860/$F20,$I66*$D20*J20*J$5*860/$F20),"ー")</f>
        <v>ー</v>
      </c>
      <c r="K66" s="252" t="str">
        <f t="shared" si="175"/>
        <v>ー</v>
      </c>
      <c r="L66" s="252" t="str">
        <f t="shared" si="175"/>
        <v>ー</v>
      </c>
      <c r="M66" s="252" t="str">
        <f t="shared" si="175"/>
        <v>ー</v>
      </c>
      <c r="N66" s="252" t="str">
        <f t="shared" si="175"/>
        <v>ー</v>
      </c>
      <c r="O66" s="252" t="str">
        <f t="shared" si="175"/>
        <v>ー</v>
      </c>
      <c r="P66" s="252" t="str">
        <f t="shared" si="175"/>
        <v>ー</v>
      </c>
      <c r="Q66" s="252" t="str">
        <f t="shared" si="175"/>
        <v>ー</v>
      </c>
      <c r="R66" s="252" t="str">
        <f t="shared" si="175"/>
        <v>ー</v>
      </c>
      <c r="S66" s="252" t="str">
        <f t="shared" si="175"/>
        <v>ー</v>
      </c>
      <c r="T66" s="252" t="str">
        <f t="shared" si="175"/>
        <v>ー</v>
      </c>
      <c r="U66" s="252" t="str">
        <f t="shared" si="175"/>
        <v>ー</v>
      </c>
      <c r="V66" s="252">
        <f t="shared" si="130"/>
        <v>0</v>
      </c>
      <c r="W66" s="180"/>
      <c r="X66" s="205" t="s">
        <v>59</v>
      </c>
      <c r="Y66" s="251">
        <f>空調!D32*空調!P32*空調!Q32</f>
        <v>0</v>
      </c>
      <c r="Z66" s="252" t="str">
        <f t="shared" ref="Z66:AK66" si="176">IFERROR(IF($C20="事務所",$Y66*$D20*Z20*Z$4*860/$F20,$Y66*$D20*Z20*Z$5*860/$F20),"ー")</f>
        <v>ー</v>
      </c>
      <c r="AA66" s="252" t="str">
        <f t="shared" si="176"/>
        <v>ー</v>
      </c>
      <c r="AB66" s="252" t="str">
        <f t="shared" si="176"/>
        <v>ー</v>
      </c>
      <c r="AC66" s="252" t="str">
        <f t="shared" si="176"/>
        <v>ー</v>
      </c>
      <c r="AD66" s="252" t="str">
        <f t="shared" si="176"/>
        <v>ー</v>
      </c>
      <c r="AE66" s="252" t="str">
        <f t="shared" si="176"/>
        <v>ー</v>
      </c>
      <c r="AF66" s="252" t="str">
        <f t="shared" si="176"/>
        <v>ー</v>
      </c>
      <c r="AG66" s="252" t="str">
        <f t="shared" si="176"/>
        <v>ー</v>
      </c>
      <c r="AH66" s="252" t="str">
        <f t="shared" si="176"/>
        <v>ー</v>
      </c>
      <c r="AI66" s="252" t="str">
        <f t="shared" si="176"/>
        <v>ー</v>
      </c>
      <c r="AJ66" s="252" t="str">
        <f t="shared" si="176"/>
        <v>ー</v>
      </c>
      <c r="AK66" s="252" t="str">
        <f t="shared" si="176"/>
        <v>ー</v>
      </c>
      <c r="AL66" s="252">
        <f t="shared" si="160"/>
        <v>0</v>
      </c>
      <c r="AM66" s="180"/>
      <c r="AN66" s="205" t="s">
        <v>59</v>
      </c>
      <c r="AO66" s="254">
        <f>IF($AR20&lt;&gt;"LPG",VLOOKUP("都市ガス",係数!$B$3:$C$30,2,FALSE),VLOOKUP("液化石油ガス（LPG）",係数!$B$3:$C$30,2,FALSE)/0.458)</f>
        <v>40</v>
      </c>
      <c r="AP66" s="254">
        <f>IF($AR20&lt;&gt;"LPG",VLOOKUP("都市ガス",係数!$B$3:$H$30,7,FALSE),VLOOKUP("液化石油ガス（LPG）",係数!$B$3:$H$30,7,FALSE)/0.458)</f>
        <v>2.0500000000000002E-3</v>
      </c>
      <c r="AQ66" s="270">
        <f t="shared" si="124"/>
        <v>0</v>
      </c>
      <c r="AR66" s="270">
        <f t="shared" si="125"/>
        <v>0</v>
      </c>
      <c r="AS66" s="277"/>
      <c r="AU66" s="205" t="s">
        <v>59</v>
      </c>
      <c r="AV66" s="251">
        <f>空調!X32*空調!AG32*空調!L32</f>
        <v>0</v>
      </c>
      <c r="AW66" s="252" t="str">
        <f t="shared" si="132"/>
        <v>ー</v>
      </c>
      <c r="AX66" s="252" t="str">
        <f t="shared" si="133"/>
        <v>ー</v>
      </c>
      <c r="AY66" s="252" t="str">
        <f t="shared" si="134"/>
        <v>ー</v>
      </c>
      <c r="AZ66" s="252" t="str">
        <f t="shared" si="135"/>
        <v>ー</v>
      </c>
      <c r="BA66" s="252" t="str">
        <f t="shared" si="136"/>
        <v>ー</v>
      </c>
      <c r="BB66" s="252" t="str">
        <f t="shared" si="137"/>
        <v>ー</v>
      </c>
      <c r="BC66" s="252" t="str">
        <f t="shared" si="138"/>
        <v>ー</v>
      </c>
      <c r="BD66" s="252" t="str">
        <f t="shared" si="139"/>
        <v>ー</v>
      </c>
      <c r="BE66" s="252" t="str">
        <f t="shared" si="140"/>
        <v>ー</v>
      </c>
      <c r="BF66" s="252" t="str">
        <f t="shared" si="141"/>
        <v>ー</v>
      </c>
      <c r="BG66" s="252" t="str">
        <f t="shared" si="142"/>
        <v>ー</v>
      </c>
      <c r="BH66" s="252" t="str">
        <f t="shared" si="143"/>
        <v>ー</v>
      </c>
      <c r="BI66" s="252">
        <f t="shared" si="144"/>
        <v>0</v>
      </c>
      <c r="BJ66" s="180"/>
      <c r="BK66" s="205" t="s">
        <v>59</v>
      </c>
      <c r="BL66" s="251">
        <f>空調!X32*空調!AG32*空調!Q32</f>
        <v>0</v>
      </c>
      <c r="BM66" s="252" t="str">
        <f t="shared" si="145"/>
        <v>ー</v>
      </c>
      <c r="BN66" s="252" t="str">
        <f t="shared" si="146"/>
        <v>ー</v>
      </c>
      <c r="BO66" s="252" t="str">
        <f t="shared" si="147"/>
        <v>ー</v>
      </c>
      <c r="BP66" s="252" t="str">
        <f t="shared" si="148"/>
        <v>ー</v>
      </c>
      <c r="BQ66" s="252" t="str">
        <f t="shared" si="149"/>
        <v>ー</v>
      </c>
      <c r="BR66" s="252" t="str">
        <f t="shared" si="150"/>
        <v>ー</v>
      </c>
      <c r="BS66" s="252" t="str">
        <f t="shared" si="151"/>
        <v>ー</v>
      </c>
      <c r="BT66" s="252" t="str">
        <f t="shared" si="152"/>
        <v>ー</v>
      </c>
      <c r="BU66" s="252" t="str">
        <f t="shared" si="153"/>
        <v>ー</v>
      </c>
      <c r="BV66" s="252" t="str">
        <f t="shared" si="154"/>
        <v>ー</v>
      </c>
      <c r="BW66" s="252" t="str">
        <f t="shared" si="155"/>
        <v>ー</v>
      </c>
      <c r="BX66" s="252" t="str">
        <f t="shared" si="156"/>
        <v>ー</v>
      </c>
      <c r="BY66" s="252">
        <f t="shared" si="157"/>
        <v>0</v>
      </c>
      <c r="BZ66" s="180"/>
    </row>
    <row r="67" spans="1:78">
      <c r="B67" s="205" t="s">
        <v>60</v>
      </c>
      <c r="C67" s="255">
        <f>IF($E21&lt;&gt;"LPG",VLOOKUP("都市ガス",係数!$B$3:$C$30,2,FALSE),VLOOKUP("液化石油ガス（LPG）",係数!$B$3:$C$30,2,FALSE)/0.458)</f>
        <v>40</v>
      </c>
      <c r="D67" s="275">
        <f>IF($E21&lt;&gt;"LPG",VLOOKUP("都市ガス",係数!$B$3:$H$30,7,FALSE),VLOOKUP("液化石油ガス（LPG）",係数!$B$3:$H$30,7,FALSE)/0.458)</f>
        <v>2.0500000000000002E-3</v>
      </c>
      <c r="E67" s="270">
        <f t="shared" si="128"/>
        <v>0</v>
      </c>
      <c r="F67" s="270">
        <f t="shared" si="121"/>
        <v>0</v>
      </c>
      <c r="H67" s="205" t="s">
        <v>60</v>
      </c>
      <c r="I67" s="251">
        <f>空調!D33*空調!K33*空調!L33</f>
        <v>0</v>
      </c>
      <c r="J67" s="252" t="str">
        <f t="shared" ref="J67:U67" si="177">IFERROR(IF($C21="事務所",$I67*$D21*J21*J$4*860/$F21,$I67*$D21*J21*J$5*860/$F21),"ー")</f>
        <v>ー</v>
      </c>
      <c r="K67" s="252" t="str">
        <f t="shared" si="177"/>
        <v>ー</v>
      </c>
      <c r="L67" s="252" t="str">
        <f t="shared" si="177"/>
        <v>ー</v>
      </c>
      <c r="M67" s="252" t="str">
        <f t="shared" si="177"/>
        <v>ー</v>
      </c>
      <c r="N67" s="252" t="str">
        <f t="shared" si="177"/>
        <v>ー</v>
      </c>
      <c r="O67" s="252" t="str">
        <f t="shared" si="177"/>
        <v>ー</v>
      </c>
      <c r="P67" s="252" t="str">
        <f t="shared" si="177"/>
        <v>ー</v>
      </c>
      <c r="Q67" s="252" t="str">
        <f t="shared" si="177"/>
        <v>ー</v>
      </c>
      <c r="R67" s="252" t="str">
        <f t="shared" si="177"/>
        <v>ー</v>
      </c>
      <c r="S67" s="252" t="str">
        <f t="shared" si="177"/>
        <v>ー</v>
      </c>
      <c r="T67" s="252" t="str">
        <f t="shared" si="177"/>
        <v>ー</v>
      </c>
      <c r="U67" s="252" t="str">
        <f t="shared" si="177"/>
        <v>ー</v>
      </c>
      <c r="V67" s="252">
        <f t="shared" si="130"/>
        <v>0</v>
      </c>
      <c r="W67" s="180"/>
      <c r="X67" s="205" t="s">
        <v>60</v>
      </c>
      <c r="Y67" s="251">
        <f>空調!D33*空調!P33*空調!Q33</f>
        <v>0</v>
      </c>
      <c r="Z67" s="252" t="str">
        <f t="shared" ref="Z67:AK67" si="178">IFERROR(IF($C21="事務所",$Y67*$D21*Z21*Z$4*860/$F21,$Y67*$D21*Z21*Z$5*860/$F21),"ー")</f>
        <v>ー</v>
      </c>
      <c r="AA67" s="252" t="str">
        <f t="shared" si="178"/>
        <v>ー</v>
      </c>
      <c r="AB67" s="252" t="str">
        <f t="shared" si="178"/>
        <v>ー</v>
      </c>
      <c r="AC67" s="252" t="str">
        <f t="shared" si="178"/>
        <v>ー</v>
      </c>
      <c r="AD67" s="252" t="str">
        <f t="shared" si="178"/>
        <v>ー</v>
      </c>
      <c r="AE67" s="252" t="str">
        <f t="shared" si="178"/>
        <v>ー</v>
      </c>
      <c r="AF67" s="252" t="str">
        <f t="shared" si="178"/>
        <v>ー</v>
      </c>
      <c r="AG67" s="252" t="str">
        <f t="shared" si="178"/>
        <v>ー</v>
      </c>
      <c r="AH67" s="252" t="str">
        <f t="shared" si="178"/>
        <v>ー</v>
      </c>
      <c r="AI67" s="252" t="str">
        <f t="shared" si="178"/>
        <v>ー</v>
      </c>
      <c r="AJ67" s="252" t="str">
        <f t="shared" si="178"/>
        <v>ー</v>
      </c>
      <c r="AK67" s="252" t="str">
        <f t="shared" si="178"/>
        <v>ー</v>
      </c>
      <c r="AL67" s="252">
        <f t="shared" si="160"/>
        <v>0</v>
      </c>
      <c r="AM67" s="180"/>
      <c r="AN67" s="205" t="s">
        <v>60</v>
      </c>
      <c r="AO67" s="254">
        <f>IF($AR21&lt;&gt;"LPG",VLOOKUP("都市ガス",係数!$B$3:$C$30,2,FALSE),VLOOKUP("液化石油ガス（LPG）",係数!$B$3:$C$30,2,FALSE)/0.458)</f>
        <v>40</v>
      </c>
      <c r="AP67" s="254">
        <f>IF($AR21&lt;&gt;"LPG",VLOOKUP("都市ガス",係数!$B$3:$H$30,7,FALSE),VLOOKUP("液化石油ガス（LPG）",係数!$B$3:$H$30,7,FALSE)/0.458)</f>
        <v>2.0500000000000002E-3</v>
      </c>
      <c r="AQ67" s="270">
        <f t="shared" si="124"/>
        <v>0</v>
      </c>
      <c r="AR67" s="270">
        <f t="shared" si="125"/>
        <v>0</v>
      </c>
      <c r="AS67" s="277"/>
      <c r="AU67" s="205" t="s">
        <v>60</v>
      </c>
      <c r="AV67" s="251">
        <f>空調!X33*空調!AG33*空調!L33</f>
        <v>0</v>
      </c>
      <c r="AW67" s="252" t="str">
        <f t="shared" si="132"/>
        <v>ー</v>
      </c>
      <c r="AX67" s="252" t="str">
        <f t="shared" si="133"/>
        <v>ー</v>
      </c>
      <c r="AY67" s="252" t="str">
        <f t="shared" si="134"/>
        <v>ー</v>
      </c>
      <c r="AZ67" s="252" t="str">
        <f t="shared" si="135"/>
        <v>ー</v>
      </c>
      <c r="BA67" s="252" t="str">
        <f t="shared" si="136"/>
        <v>ー</v>
      </c>
      <c r="BB67" s="252" t="str">
        <f t="shared" si="137"/>
        <v>ー</v>
      </c>
      <c r="BC67" s="252" t="str">
        <f t="shared" si="138"/>
        <v>ー</v>
      </c>
      <c r="BD67" s="252" t="str">
        <f t="shared" si="139"/>
        <v>ー</v>
      </c>
      <c r="BE67" s="252" t="str">
        <f t="shared" si="140"/>
        <v>ー</v>
      </c>
      <c r="BF67" s="252" t="str">
        <f t="shared" si="141"/>
        <v>ー</v>
      </c>
      <c r="BG67" s="252" t="str">
        <f t="shared" si="142"/>
        <v>ー</v>
      </c>
      <c r="BH67" s="252" t="str">
        <f t="shared" si="143"/>
        <v>ー</v>
      </c>
      <c r="BI67" s="252">
        <f t="shared" si="144"/>
        <v>0</v>
      </c>
      <c r="BJ67" s="180"/>
      <c r="BK67" s="205" t="s">
        <v>60</v>
      </c>
      <c r="BL67" s="251">
        <f>空調!X33*空調!AG33*空調!Q33</f>
        <v>0</v>
      </c>
      <c r="BM67" s="252" t="str">
        <f t="shared" si="145"/>
        <v>ー</v>
      </c>
      <c r="BN67" s="252" t="str">
        <f t="shared" si="146"/>
        <v>ー</v>
      </c>
      <c r="BO67" s="252" t="str">
        <f t="shared" si="147"/>
        <v>ー</v>
      </c>
      <c r="BP67" s="252" t="str">
        <f t="shared" si="148"/>
        <v>ー</v>
      </c>
      <c r="BQ67" s="252" t="str">
        <f t="shared" si="149"/>
        <v>ー</v>
      </c>
      <c r="BR67" s="252" t="str">
        <f t="shared" si="150"/>
        <v>ー</v>
      </c>
      <c r="BS67" s="252" t="str">
        <f t="shared" si="151"/>
        <v>ー</v>
      </c>
      <c r="BT67" s="252" t="str">
        <f t="shared" si="152"/>
        <v>ー</v>
      </c>
      <c r="BU67" s="252" t="str">
        <f t="shared" si="153"/>
        <v>ー</v>
      </c>
      <c r="BV67" s="252" t="str">
        <f t="shared" si="154"/>
        <v>ー</v>
      </c>
      <c r="BW67" s="252" t="str">
        <f t="shared" si="155"/>
        <v>ー</v>
      </c>
      <c r="BX67" s="252" t="str">
        <f t="shared" si="156"/>
        <v>ー</v>
      </c>
      <c r="BY67" s="252">
        <f t="shared" si="157"/>
        <v>0</v>
      </c>
      <c r="BZ67" s="180"/>
    </row>
    <row r="68" spans="1:78">
      <c r="B68" s="205" t="s">
        <v>61</v>
      </c>
      <c r="C68" s="255">
        <f>IF($E22&lt;&gt;"LPG",VLOOKUP("都市ガス",係数!$B$3:$C$30,2,FALSE),VLOOKUP("液化石油ガス（LPG）",係数!$B$3:$C$30,2,FALSE)/0.458)</f>
        <v>40</v>
      </c>
      <c r="D68" s="275">
        <f>IF($E22&lt;&gt;"LPG",VLOOKUP("都市ガス",係数!$B$3:$H$30,7,FALSE),VLOOKUP("液化石油ガス（LPG）",係数!$B$3:$H$30,7,FALSE)/0.458)</f>
        <v>2.0500000000000002E-3</v>
      </c>
      <c r="E68" s="270">
        <f t="shared" si="128"/>
        <v>0</v>
      </c>
      <c r="F68" s="270">
        <f t="shared" si="121"/>
        <v>0</v>
      </c>
      <c r="H68" s="205" t="s">
        <v>61</v>
      </c>
      <c r="I68" s="251">
        <f>空調!D34*空調!K34*空調!L34</f>
        <v>0</v>
      </c>
      <c r="J68" s="252" t="str">
        <f t="shared" ref="J68:U68" si="179">IFERROR(IF($C22="事務所",$I68*$D22*J22*J$4*860/$F22,$I68*$D22*J22*J$5*860/$F22),"ー")</f>
        <v>ー</v>
      </c>
      <c r="K68" s="252" t="str">
        <f t="shared" si="179"/>
        <v>ー</v>
      </c>
      <c r="L68" s="252" t="str">
        <f t="shared" si="179"/>
        <v>ー</v>
      </c>
      <c r="M68" s="252" t="str">
        <f t="shared" si="179"/>
        <v>ー</v>
      </c>
      <c r="N68" s="252" t="str">
        <f t="shared" si="179"/>
        <v>ー</v>
      </c>
      <c r="O68" s="252" t="str">
        <f t="shared" si="179"/>
        <v>ー</v>
      </c>
      <c r="P68" s="252" t="str">
        <f t="shared" si="179"/>
        <v>ー</v>
      </c>
      <c r="Q68" s="252" t="str">
        <f t="shared" si="179"/>
        <v>ー</v>
      </c>
      <c r="R68" s="252" t="str">
        <f t="shared" si="179"/>
        <v>ー</v>
      </c>
      <c r="S68" s="252" t="str">
        <f t="shared" si="179"/>
        <v>ー</v>
      </c>
      <c r="T68" s="252" t="str">
        <f t="shared" si="179"/>
        <v>ー</v>
      </c>
      <c r="U68" s="252" t="str">
        <f t="shared" si="179"/>
        <v>ー</v>
      </c>
      <c r="V68" s="252">
        <f t="shared" si="130"/>
        <v>0</v>
      </c>
      <c r="W68" s="180"/>
      <c r="X68" s="205" t="s">
        <v>61</v>
      </c>
      <c r="Y68" s="251">
        <f>空調!D34*空調!P34*空調!Q34</f>
        <v>0</v>
      </c>
      <c r="Z68" s="252" t="str">
        <f t="shared" ref="Z68:AK68" si="180">IFERROR(IF($C22="事務所",$Y68*$D22*Z22*Z$4*860/$F22,$Y68*$D22*Z22*Z$5*860/$F22),"ー")</f>
        <v>ー</v>
      </c>
      <c r="AA68" s="252" t="str">
        <f t="shared" si="180"/>
        <v>ー</v>
      </c>
      <c r="AB68" s="252" t="str">
        <f t="shared" si="180"/>
        <v>ー</v>
      </c>
      <c r="AC68" s="252" t="str">
        <f t="shared" si="180"/>
        <v>ー</v>
      </c>
      <c r="AD68" s="252" t="str">
        <f t="shared" si="180"/>
        <v>ー</v>
      </c>
      <c r="AE68" s="252" t="str">
        <f t="shared" si="180"/>
        <v>ー</v>
      </c>
      <c r="AF68" s="252" t="str">
        <f t="shared" si="180"/>
        <v>ー</v>
      </c>
      <c r="AG68" s="252" t="str">
        <f t="shared" si="180"/>
        <v>ー</v>
      </c>
      <c r="AH68" s="252" t="str">
        <f t="shared" si="180"/>
        <v>ー</v>
      </c>
      <c r="AI68" s="252" t="str">
        <f t="shared" si="180"/>
        <v>ー</v>
      </c>
      <c r="AJ68" s="252" t="str">
        <f t="shared" si="180"/>
        <v>ー</v>
      </c>
      <c r="AK68" s="252" t="str">
        <f t="shared" si="180"/>
        <v>ー</v>
      </c>
      <c r="AL68" s="252">
        <f t="shared" si="160"/>
        <v>0</v>
      </c>
      <c r="AM68" s="180"/>
      <c r="AN68" s="205" t="s">
        <v>61</v>
      </c>
      <c r="AO68" s="254">
        <f>IF($AR22&lt;&gt;"LPG",VLOOKUP("都市ガス",係数!$B$3:$C$30,2,FALSE),VLOOKUP("液化石油ガス（LPG）",係数!$B$3:$C$30,2,FALSE)/0.458)</f>
        <v>40</v>
      </c>
      <c r="AP68" s="254">
        <f>IF($AR22&lt;&gt;"LPG",VLOOKUP("都市ガス",係数!$B$3:$H$30,7,FALSE),VLOOKUP("液化石油ガス（LPG）",係数!$B$3:$H$30,7,FALSE)/0.458)</f>
        <v>2.0500000000000002E-3</v>
      </c>
      <c r="AQ68" s="270">
        <f t="shared" si="124"/>
        <v>0</v>
      </c>
      <c r="AR68" s="270">
        <f t="shared" si="125"/>
        <v>0</v>
      </c>
      <c r="AS68" s="277"/>
      <c r="AU68" s="205" t="s">
        <v>61</v>
      </c>
      <c r="AV68" s="251">
        <f>空調!X34*空調!AG34*空調!L34</f>
        <v>0</v>
      </c>
      <c r="AW68" s="252" t="str">
        <f t="shared" si="132"/>
        <v>ー</v>
      </c>
      <c r="AX68" s="252" t="str">
        <f t="shared" si="133"/>
        <v>ー</v>
      </c>
      <c r="AY68" s="252" t="str">
        <f t="shared" si="134"/>
        <v>ー</v>
      </c>
      <c r="AZ68" s="252" t="str">
        <f t="shared" si="135"/>
        <v>ー</v>
      </c>
      <c r="BA68" s="252" t="str">
        <f t="shared" si="136"/>
        <v>ー</v>
      </c>
      <c r="BB68" s="252" t="str">
        <f t="shared" si="137"/>
        <v>ー</v>
      </c>
      <c r="BC68" s="252" t="str">
        <f t="shared" si="138"/>
        <v>ー</v>
      </c>
      <c r="BD68" s="252" t="str">
        <f t="shared" si="139"/>
        <v>ー</v>
      </c>
      <c r="BE68" s="252" t="str">
        <f t="shared" si="140"/>
        <v>ー</v>
      </c>
      <c r="BF68" s="252" t="str">
        <f t="shared" si="141"/>
        <v>ー</v>
      </c>
      <c r="BG68" s="252" t="str">
        <f t="shared" si="142"/>
        <v>ー</v>
      </c>
      <c r="BH68" s="252" t="str">
        <f t="shared" si="143"/>
        <v>ー</v>
      </c>
      <c r="BI68" s="252">
        <f t="shared" si="144"/>
        <v>0</v>
      </c>
      <c r="BJ68" s="180"/>
      <c r="BK68" s="205" t="s">
        <v>61</v>
      </c>
      <c r="BL68" s="251">
        <f>空調!X34*空調!AG34*空調!Q34</f>
        <v>0</v>
      </c>
      <c r="BM68" s="252" t="str">
        <f t="shared" si="145"/>
        <v>ー</v>
      </c>
      <c r="BN68" s="252" t="str">
        <f t="shared" si="146"/>
        <v>ー</v>
      </c>
      <c r="BO68" s="252" t="str">
        <f t="shared" si="147"/>
        <v>ー</v>
      </c>
      <c r="BP68" s="252" t="str">
        <f t="shared" si="148"/>
        <v>ー</v>
      </c>
      <c r="BQ68" s="252" t="str">
        <f t="shared" si="149"/>
        <v>ー</v>
      </c>
      <c r="BR68" s="252" t="str">
        <f t="shared" si="150"/>
        <v>ー</v>
      </c>
      <c r="BS68" s="252" t="str">
        <f t="shared" si="151"/>
        <v>ー</v>
      </c>
      <c r="BT68" s="252" t="str">
        <f t="shared" si="152"/>
        <v>ー</v>
      </c>
      <c r="BU68" s="252" t="str">
        <f t="shared" si="153"/>
        <v>ー</v>
      </c>
      <c r="BV68" s="252" t="str">
        <f t="shared" si="154"/>
        <v>ー</v>
      </c>
      <c r="BW68" s="252" t="str">
        <f t="shared" si="155"/>
        <v>ー</v>
      </c>
      <c r="BX68" s="252" t="str">
        <f t="shared" si="156"/>
        <v>ー</v>
      </c>
      <c r="BY68" s="252">
        <f t="shared" si="157"/>
        <v>0</v>
      </c>
      <c r="BZ68" s="180"/>
    </row>
    <row r="69" spans="1:78">
      <c r="B69" s="205" t="s">
        <v>62</v>
      </c>
      <c r="C69" s="255">
        <f>IF($E23&lt;&gt;"LPG",VLOOKUP("都市ガス",係数!$B$3:$C$30,2,FALSE),VLOOKUP("液化石油ガス（LPG）",係数!$B$3:$C$30,2,FALSE)/0.458)</f>
        <v>40</v>
      </c>
      <c r="D69" s="275">
        <f>IF($E23&lt;&gt;"LPG",VLOOKUP("都市ガス",係数!$B$3:$H$30,7,FALSE),VLOOKUP("液化石油ガス（LPG）",係数!$B$3:$H$30,7,FALSE)/0.458)</f>
        <v>2.0500000000000002E-3</v>
      </c>
      <c r="E69" s="270">
        <f t="shared" si="128"/>
        <v>0</v>
      </c>
      <c r="F69" s="270">
        <f t="shared" si="121"/>
        <v>0</v>
      </c>
      <c r="H69" s="205" t="s">
        <v>62</v>
      </c>
      <c r="I69" s="251">
        <f>空調!D35*空調!K35*空調!L35</f>
        <v>0</v>
      </c>
      <c r="J69" s="252" t="str">
        <f t="shared" ref="J69:U69" si="181">IFERROR(IF($C23="事務所",$I69*$D23*J23*J$4*860/$F23,$I69*$D23*J23*J$5*860/$F23),"ー")</f>
        <v>ー</v>
      </c>
      <c r="K69" s="252" t="str">
        <f t="shared" si="181"/>
        <v>ー</v>
      </c>
      <c r="L69" s="252" t="str">
        <f t="shared" si="181"/>
        <v>ー</v>
      </c>
      <c r="M69" s="252" t="str">
        <f t="shared" si="181"/>
        <v>ー</v>
      </c>
      <c r="N69" s="252" t="str">
        <f t="shared" si="181"/>
        <v>ー</v>
      </c>
      <c r="O69" s="252" t="str">
        <f t="shared" si="181"/>
        <v>ー</v>
      </c>
      <c r="P69" s="252" t="str">
        <f t="shared" si="181"/>
        <v>ー</v>
      </c>
      <c r="Q69" s="252" t="str">
        <f t="shared" si="181"/>
        <v>ー</v>
      </c>
      <c r="R69" s="252" t="str">
        <f t="shared" si="181"/>
        <v>ー</v>
      </c>
      <c r="S69" s="252" t="str">
        <f t="shared" si="181"/>
        <v>ー</v>
      </c>
      <c r="T69" s="252" t="str">
        <f t="shared" si="181"/>
        <v>ー</v>
      </c>
      <c r="U69" s="252" t="str">
        <f t="shared" si="181"/>
        <v>ー</v>
      </c>
      <c r="V69" s="252">
        <f t="shared" si="130"/>
        <v>0</v>
      </c>
      <c r="W69" s="180"/>
      <c r="X69" s="205" t="s">
        <v>62</v>
      </c>
      <c r="Y69" s="251">
        <f>空調!D35*空調!P35*空調!Q35</f>
        <v>0</v>
      </c>
      <c r="Z69" s="252" t="str">
        <f t="shared" ref="Z69:AK69" si="182">IFERROR(IF($C23="事務所",$Y69*$D23*Z23*Z$4*860/$F23,$Y69*$D23*Z23*Z$5*860/$F23),"ー")</f>
        <v>ー</v>
      </c>
      <c r="AA69" s="252" t="str">
        <f t="shared" si="182"/>
        <v>ー</v>
      </c>
      <c r="AB69" s="252" t="str">
        <f t="shared" si="182"/>
        <v>ー</v>
      </c>
      <c r="AC69" s="252" t="str">
        <f t="shared" si="182"/>
        <v>ー</v>
      </c>
      <c r="AD69" s="252" t="str">
        <f t="shared" si="182"/>
        <v>ー</v>
      </c>
      <c r="AE69" s="252" t="str">
        <f t="shared" si="182"/>
        <v>ー</v>
      </c>
      <c r="AF69" s="252" t="str">
        <f t="shared" si="182"/>
        <v>ー</v>
      </c>
      <c r="AG69" s="252" t="str">
        <f t="shared" si="182"/>
        <v>ー</v>
      </c>
      <c r="AH69" s="252" t="str">
        <f t="shared" si="182"/>
        <v>ー</v>
      </c>
      <c r="AI69" s="252" t="str">
        <f t="shared" si="182"/>
        <v>ー</v>
      </c>
      <c r="AJ69" s="252" t="str">
        <f t="shared" si="182"/>
        <v>ー</v>
      </c>
      <c r="AK69" s="252" t="str">
        <f t="shared" si="182"/>
        <v>ー</v>
      </c>
      <c r="AL69" s="252">
        <f t="shared" si="160"/>
        <v>0</v>
      </c>
      <c r="AM69" s="180"/>
      <c r="AN69" s="205" t="s">
        <v>62</v>
      </c>
      <c r="AO69" s="254">
        <f>IF($AR23&lt;&gt;"LPG",VLOOKUP("都市ガス",係数!$B$3:$C$30,2,FALSE),VLOOKUP("液化石油ガス（LPG）",係数!$B$3:$C$30,2,FALSE)/0.458)</f>
        <v>40</v>
      </c>
      <c r="AP69" s="254">
        <f>IF($AR23&lt;&gt;"LPG",VLOOKUP("都市ガス",係数!$B$3:$H$30,7,FALSE),VLOOKUP("液化石油ガス（LPG）",係数!$B$3:$H$30,7,FALSE)/0.458)</f>
        <v>2.0500000000000002E-3</v>
      </c>
      <c r="AQ69" s="270">
        <f t="shared" si="124"/>
        <v>0</v>
      </c>
      <c r="AR69" s="270">
        <f t="shared" si="125"/>
        <v>0</v>
      </c>
      <c r="AS69" s="277"/>
      <c r="AU69" s="205" t="s">
        <v>62</v>
      </c>
      <c r="AV69" s="251">
        <f>空調!X35*空調!AG35*空調!L35</f>
        <v>0</v>
      </c>
      <c r="AW69" s="252" t="str">
        <f t="shared" si="132"/>
        <v>ー</v>
      </c>
      <c r="AX69" s="252" t="str">
        <f t="shared" si="133"/>
        <v>ー</v>
      </c>
      <c r="AY69" s="252" t="str">
        <f t="shared" si="134"/>
        <v>ー</v>
      </c>
      <c r="AZ69" s="252" t="str">
        <f t="shared" si="135"/>
        <v>ー</v>
      </c>
      <c r="BA69" s="252" t="str">
        <f t="shared" si="136"/>
        <v>ー</v>
      </c>
      <c r="BB69" s="252" t="str">
        <f t="shared" si="137"/>
        <v>ー</v>
      </c>
      <c r="BC69" s="252" t="str">
        <f t="shared" si="138"/>
        <v>ー</v>
      </c>
      <c r="BD69" s="252" t="str">
        <f t="shared" si="139"/>
        <v>ー</v>
      </c>
      <c r="BE69" s="252" t="str">
        <f t="shared" si="140"/>
        <v>ー</v>
      </c>
      <c r="BF69" s="252" t="str">
        <f t="shared" si="141"/>
        <v>ー</v>
      </c>
      <c r="BG69" s="252" t="str">
        <f t="shared" si="142"/>
        <v>ー</v>
      </c>
      <c r="BH69" s="252" t="str">
        <f t="shared" si="143"/>
        <v>ー</v>
      </c>
      <c r="BI69" s="252">
        <f t="shared" si="144"/>
        <v>0</v>
      </c>
      <c r="BJ69" s="180"/>
      <c r="BK69" s="205" t="s">
        <v>62</v>
      </c>
      <c r="BL69" s="251">
        <f>空調!X35*空調!AG35*空調!Q35</f>
        <v>0</v>
      </c>
      <c r="BM69" s="252" t="str">
        <f t="shared" si="145"/>
        <v>ー</v>
      </c>
      <c r="BN69" s="252" t="str">
        <f t="shared" si="146"/>
        <v>ー</v>
      </c>
      <c r="BO69" s="252" t="str">
        <f t="shared" si="147"/>
        <v>ー</v>
      </c>
      <c r="BP69" s="252" t="str">
        <f t="shared" si="148"/>
        <v>ー</v>
      </c>
      <c r="BQ69" s="252" t="str">
        <f t="shared" si="149"/>
        <v>ー</v>
      </c>
      <c r="BR69" s="252" t="str">
        <f t="shared" si="150"/>
        <v>ー</v>
      </c>
      <c r="BS69" s="252" t="str">
        <f t="shared" si="151"/>
        <v>ー</v>
      </c>
      <c r="BT69" s="252" t="str">
        <f t="shared" si="152"/>
        <v>ー</v>
      </c>
      <c r="BU69" s="252" t="str">
        <f t="shared" si="153"/>
        <v>ー</v>
      </c>
      <c r="BV69" s="252" t="str">
        <f t="shared" si="154"/>
        <v>ー</v>
      </c>
      <c r="BW69" s="252" t="str">
        <f t="shared" si="155"/>
        <v>ー</v>
      </c>
      <c r="BX69" s="252" t="str">
        <f t="shared" si="156"/>
        <v>ー</v>
      </c>
      <c r="BY69" s="252">
        <f t="shared" si="157"/>
        <v>0</v>
      </c>
      <c r="BZ69" s="180"/>
    </row>
    <row r="70" spans="1:78">
      <c r="B70" s="205" t="s">
        <v>63</v>
      </c>
      <c r="C70" s="255">
        <f>IF($E24&lt;&gt;"LPG",VLOOKUP("都市ガス",係数!$B$3:$C$30,2,FALSE),VLOOKUP("液化石油ガス（LPG）",係数!$B$3:$C$30,2,FALSE)/0.458)</f>
        <v>40</v>
      </c>
      <c r="D70" s="275">
        <f>IF($E24&lt;&gt;"LPG",VLOOKUP("都市ガス",係数!$B$3:$H$30,7,FALSE),VLOOKUP("液化石油ガス（LPG）",係数!$B$3:$H$30,7,FALSE)/0.458)</f>
        <v>2.0500000000000002E-3</v>
      </c>
      <c r="E70" s="270">
        <f t="shared" si="128"/>
        <v>0</v>
      </c>
      <c r="F70" s="270">
        <f t="shared" si="121"/>
        <v>0</v>
      </c>
      <c r="H70" s="205" t="s">
        <v>63</v>
      </c>
      <c r="I70" s="251">
        <f>空調!D36*空調!K36*空調!L36</f>
        <v>0</v>
      </c>
      <c r="J70" s="252" t="str">
        <f t="shared" ref="J70:U70" si="183">IFERROR(IF($C24="事務所",$I70*$D24*J24*J$4*860/$F24,$I70*$D24*J24*J$5*860/$F24),"ー")</f>
        <v>ー</v>
      </c>
      <c r="K70" s="252" t="str">
        <f t="shared" si="183"/>
        <v>ー</v>
      </c>
      <c r="L70" s="252" t="str">
        <f t="shared" si="183"/>
        <v>ー</v>
      </c>
      <c r="M70" s="252" t="str">
        <f t="shared" si="183"/>
        <v>ー</v>
      </c>
      <c r="N70" s="252" t="str">
        <f t="shared" si="183"/>
        <v>ー</v>
      </c>
      <c r="O70" s="252" t="str">
        <f t="shared" si="183"/>
        <v>ー</v>
      </c>
      <c r="P70" s="252" t="str">
        <f t="shared" si="183"/>
        <v>ー</v>
      </c>
      <c r="Q70" s="252" t="str">
        <f t="shared" si="183"/>
        <v>ー</v>
      </c>
      <c r="R70" s="252" t="str">
        <f t="shared" si="183"/>
        <v>ー</v>
      </c>
      <c r="S70" s="252" t="str">
        <f t="shared" si="183"/>
        <v>ー</v>
      </c>
      <c r="T70" s="252" t="str">
        <f t="shared" si="183"/>
        <v>ー</v>
      </c>
      <c r="U70" s="252" t="str">
        <f t="shared" si="183"/>
        <v>ー</v>
      </c>
      <c r="V70" s="252">
        <f t="shared" si="130"/>
        <v>0</v>
      </c>
      <c r="W70" s="180"/>
      <c r="X70" s="205" t="s">
        <v>63</v>
      </c>
      <c r="Y70" s="251">
        <f>空調!D36*空調!P36*空調!Q36</f>
        <v>0</v>
      </c>
      <c r="Z70" s="252" t="str">
        <f t="shared" ref="Z70:AK70" si="184">IFERROR(IF($C24="事務所",$Y70*$D24*Z24*Z$4*860/$F24,$Y70*$D24*Z24*Z$5*860/$F24),"ー")</f>
        <v>ー</v>
      </c>
      <c r="AA70" s="252" t="str">
        <f t="shared" si="184"/>
        <v>ー</v>
      </c>
      <c r="AB70" s="252" t="str">
        <f t="shared" si="184"/>
        <v>ー</v>
      </c>
      <c r="AC70" s="252" t="str">
        <f t="shared" si="184"/>
        <v>ー</v>
      </c>
      <c r="AD70" s="252" t="str">
        <f t="shared" si="184"/>
        <v>ー</v>
      </c>
      <c r="AE70" s="252" t="str">
        <f t="shared" si="184"/>
        <v>ー</v>
      </c>
      <c r="AF70" s="252" t="str">
        <f t="shared" si="184"/>
        <v>ー</v>
      </c>
      <c r="AG70" s="252" t="str">
        <f t="shared" si="184"/>
        <v>ー</v>
      </c>
      <c r="AH70" s="252" t="str">
        <f t="shared" si="184"/>
        <v>ー</v>
      </c>
      <c r="AI70" s="252" t="str">
        <f t="shared" si="184"/>
        <v>ー</v>
      </c>
      <c r="AJ70" s="252" t="str">
        <f t="shared" si="184"/>
        <v>ー</v>
      </c>
      <c r="AK70" s="252" t="str">
        <f t="shared" si="184"/>
        <v>ー</v>
      </c>
      <c r="AL70" s="252">
        <f t="shared" si="160"/>
        <v>0</v>
      </c>
      <c r="AM70" s="180"/>
      <c r="AN70" s="205" t="s">
        <v>63</v>
      </c>
      <c r="AO70" s="254">
        <f>IF($AR24&lt;&gt;"LPG",VLOOKUP("都市ガス",係数!$B$3:$C$30,2,FALSE),VLOOKUP("液化石油ガス（LPG）",係数!$B$3:$C$30,2,FALSE)/0.458)</f>
        <v>40</v>
      </c>
      <c r="AP70" s="254">
        <f>IF($AR24&lt;&gt;"LPG",VLOOKUP("都市ガス",係数!$B$3:$H$30,7,FALSE),VLOOKUP("液化石油ガス（LPG）",係数!$B$3:$H$30,7,FALSE)/0.458)</f>
        <v>2.0500000000000002E-3</v>
      </c>
      <c r="AQ70" s="270">
        <f t="shared" si="124"/>
        <v>0</v>
      </c>
      <c r="AR70" s="270">
        <f t="shared" si="125"/>
        <v>0</v>
      </c>
      <c r="AS70" s="277"/>
      <c r="AU70" s="205" t="s">
        <v>63</v>
      </c>
      <c r="AV70" s="251">
        <f>空調!X36*空調!AG36*空調!L36</f>
        <v>0</v>
      </c>
      <c r="AW70" s="252" t="str">
        <f t="shared" si="132"/>
        <v>ー</v>
      </c>
      <c r="AX70" s="252" t="str">
        <f t="shared" si="133"/>
        <v>ー</v>
      </c>
      <c r="AY70" s="252" t="str">
        <f t="shared" si="134"/>
        <v>ー</v>
      </c>
      <c r="AZ70" s="252" t="str">
        <f t="shared" si="135"/>
        <v>ー</v>
      </c>
      <c r="BA70" s="252" t="str">
        <f t="shared" si="136"/>
        <v>ー</v>
      </c>
      <c r="BB70" s="252" t="str">
        <f t="shared" si="137"/>
        <v>ー</v>
      </c>
      <c r="BC70" s="252" t="str">
        <f t="shared" si="138"/>
        <v>ー</v>
      </c>
      <c r="BD70" s="252" t="str">
        <f t="shared" si="139"/>
        <v>ー</v>
      </c>
      <c r="BE70" s="252" t="str">
        <f t="shared" si="140"/>
        <v>ー</v>
      </c>
      <c r="BF70" s="252" t="str">
        <f t="shared" si="141"/>
        <v>ー</v>
      </c>
      <c r="BG70" s="252" t="str">
        <f t="shared" si="142"/>
        <v>ー</v>
      </c>
      <c r="BH70" s="252" t="str">
        <f t="shared" si="143"/>
        <v>ー</v>
      </c>
      <c r="BI70" s="252">
        <f t="shared" si="144"/>
        <v>0</v>
      </c>
      <c r="BJ70" s="180"/>
      <c r="BK70" s="205" t="s">
        <v>63</v>
      </c>
      <c r="BL70" s="251">
        <f>空調!X36*空調!AG36*空調!Q36</f>
        <v>0</v>
      </c>
      <c r="BM70" s="252" t="str">
        <f t="shared" si="145"/>
        <v>ー</v>
      </c>
      <c r="BN70" s="252" t="str">
        <f t="shared" si="146"/>
        <v>ー</v>
      </c>
      <c r="BO70" s="252" t="str">
        <f t="shared" si="147"/>
        <v>ー</v>
      </c>
      <c r="BP70" s="252" t="str">
        <f t="shared" si="148"/>
        <v>ー</v>
      </c>
      <c r="BQ70" s="252" t="str">
        <f t="shared" si="149"/>
        <v>ー</v>
      </c>
      <c r="BR70" s="252" t="str">
        <f t="shared" si="150"/>
        <v>ー</v>
      </c>
      <c r="BS70" s="252" t="str">
        <f t="shared" si="151"/>
        <v>ー</v>
      </c>
      <c r="BT70" s="252" t="str">
        <f t="shared" si="152"/>
        <v>ー</v>
      </c>
      <c r="BU70" s="252" t="str">
        <f t="shared" si="153"/>
        <v>ー</v>
      </c>
      <c r="BV70" s="252" t="str">
        <f t="shared" si="154"/>
        <v>ー</v>
      </c>
      <c r="BW70" s="252" t="str">
        <f t="shared" si="155"/>
        <v>ー</v>
      </c>
      <c r="BX70" s="252" t="str">
        <f t="shared" si="156"/>
        <v>ー</v>
      </c>
      <c r="BY70" s="252">
        <f t="shared" si="157"/>
        <v>0</v>
      </c>
      <c r="BZ70" s="180"/>
    </row>
    <row r="71" spans="1:78">
      <c r="B71" s="205" t="s">
        <v>64</v>
      </c>
      <c r="C71" s="255">
        <f>IF($E25&lt;&gt;"LPG",VLOOKUP("都市ガス",係数!$B$3:$C$30,2,FALSE),VLOOKUP("液化石油ガス（LPG）",係数!$B$3:$C$30,2,FALSE)/0.458)</f>
        <v>40</v>
      </c>
      <c r="D71" s="275">
        <f>IF($E25&lt;&gt;"LPG",VLOOKUP("都市ガス",係数!$B$3:$H$30,7,FALSE),VLOOKUP("液化石油ガス（LPG）",係数!$B$3:$H$30,7,FALSE)/0.458)</f>
        <v>2.0500000000000002E-3</v>
      </c>
      <c r="E71" s="270">
        <f t="shared" si="128"/>
        <v>0</v>
      </c>
      <c r="F71" s="270">
        <f t="shared" si="121"/>
        <v>0</v>
      </c>
      <c r="H71" s="205" t="s">
        <v>64</v>
      </c>
      <c r="I71" s="251">
        <f>空調!D37*空調!K37*空調!L37</f>
        <v>0</v>
      </c>
      <c r="J71" s="252" t="str">
        <f t="shared" ref="J71:U71" si="185">IFERROR(IF($C25="事務所",$I71*$D25*J25*J$4*860/$F25,$I71*$D25*J25*J$5*860/$F25),"ー")</f>
        <v>ー</v>
      </c>
      <c r="K71" s="252" t="str">
        <f t="shared" si="185"/>
        <v>ー</v>
      </c>
      <c r="L71" s="252" t="str">
        <f t="shared" si="185"/>
        <v>ー</v>
      </c>
      <c r="M71" s="252" t="str">
        <f t="shared" si="185"/>
        <v>ー</v>
      </c>
      <c r="N71" s="252" t="str">
        <f t="shared" si="185"/>
        <v>ー</v>
      </c>
      <c r="O71" s="252" t="str">
        <f t="shared" si="185"/>
        <v>ー</v>
      </c>
      <c r="P71" s="252" t="str">
        <f t="shared" si="185"/>
        <v>ー</v>
      </c>
      <c r="Q71" s="252" t="str">
        <f t="shared" si="185"/>
        <v>ー</v>
      </c>
      <c r="R71" s="252" t="str">
        <f t="shared" si="185"/>
        <v>ー</v>
      </c>
      <c r="S71" s="252" t="str">
        <f t="shared" si="185"/>
        <v>ー</v>
      </c>
      <c r="T71" s="252" t="str">
        <f t="shared" si="185"/>
        <v>ー</v>
      </c>
      <c r="U71" s="252" t="str">
        <f t="shared" si="185"/>
        <v>ー</v>
      </c>
      <c r="V71" s="252">
        <f t="shared" si="130"/>
        <v>0</v>
      </c>
      <c r="W71" s="180"/>
      <c r="X71" s="205" t="s">
        <v>64</v>
      </c>
      <c r="Y71" s="251">
        <f>空調!D37*空調!P37*空調!Q37</f>
        <v>0</v>
      </c>
      <c r="Z71" s="252" t="str">
        <f t="shared" ref="Z71:AK71" si="186">IFERROR(IF($C25="事務所",$Y71*$D25*Z25*Z$4*860/$F25,$Y71*$D25*Z25*Z$5*860/$F25),"ー")</f>
        <v>ー</v>
      </c>
      <c r="AA71" s="252" t="str">
        <f t="shared" si="186"/>
        <v>ー</v>
      </c>
      <c r="AB71" s="252" t="str">
        <f t="shared" si="186"/>
        <v>ー</v>
      </c>
      <c r="AC71" s="252" t="str">
        <f t="shared" si="186"/>
        <v>ー</v>
      </c>
      <c r="AD71" s="252" t="str">
        <f t="shared" si="186"/>
        <v>ー</v>
      </c>
      <c r="AE71" s="252" t="str">
        <f t="shared" si="186"/>
        <v>ー</v>
      </c>
      <c r="AF71" s="252" t="str">
        <f t="shared" si="186"/>
        <v>ー</v>
      </c>
      <c r="AG71" s="252" t="str">
        <f t="shared" si="186"/>
        <v>ー</v>
      </c>
      <c r="AH71" s="252" t="str">
        <f t="shared" si="186"/>
        <v>ー</v>
      </c>
      <c r="AI71" s="252" t="str">
        <f t="shared" si="186"/>
        <v>ー</v>
      </c>
      <c r="AJ71" s="252" t="str">
        <f t="shared" si="186"/>
        <v>ー</v>
      </c>
      <c r="AK71" s="252" t="str">
        <f t="shared" si="186"/>
        <v>ー</v>
      </c>
      <c r="AL71" s="252">
        <f t="shared" si="160"/>
        <v>0</v>
      </c>
      <c r="AM71" s="180"/>
      <c r="AN71" s="205" t="s">
        <v>64</v>
      </c>
      <c r="AO71" s="254">
        <f>IF($AR25&lt;&gt;"LPG",VLOOKUP("都市ガス",係数!$B$3:$C$30,2,FALSE),VLOOKUP("液化石油ガス（LPG）",係数!$B$3:$C$30,2,FALSE)/0.458)</f>
        <v>40</v>
      </c>
      <c r="AP71" s="254">
        <f>IF($AR25&lt;&gt;"LPG",VLOOKUP("都市ガス",係数!$B$3:$H$30,7,FALSE),VLOOKUP("液化石油ガス（LPG）",係数!$B$3:$H$30,7,FALSE)/0.458)</f>
        <v>2.0500000000000002E-3</v>
      </c>
      <c r="AQ71" s="270">
        <f t="shared" si="124"/>
        <v>0</v>
      </c>
      <c r="AR71" s="270">
        <f t="shared" si="125"/>
        <v>0</v>
      </c>
      <c r="AS71" s="277"/>
      <c r="AU71" s="205" t="s">
        <v>64</v>
      </c>
      <c r="AV71" s="251">
        <f>空調!X37*空調!AG37*空調!L37</f>
        <v>0</v>
      </c>
      <c r="AW71" s="252" t="str">
        <f t="shared" si="132"/>
        <v>ー</v>
      </c>
      <c r="AX71" s="252" t="str">
        <f t="shared" si="133"/>
        <v>ー</v>
      </c>
      <c r="AY71" s="252" t="str">
        <f t="shared" si="134"/>
        <v>ー</v>
      </c>
      <c r="AZ71" s="252" t="str">
        <f t="shared" si="135"/>
        <v>ー</v>
      </c>
      <c r="BA71" s="252" t="str">
        <f t="shared" si="136"/>
        <v>ー</v>
      </c>
      <c r="BB71" s="252" t="str">
        <f t="shared" si="137"/>
        <v>ー</v>
      </c>
      <c r="BC71" s="252" t="str">
        <f t="shared" si="138"/>
        <v>ー</v>
      </c>
      <c r="BD71" s="252" t="str">
        <f t="shared" si="139"/>
        <v>ー</v>
      </c>
      <c r="BE71" s="252" t="str">
        <f t="shared" si="140"/>
        <v>ー</v>
      </c>
      <c r="BF71" s="252" t="str">
        <f t="shared" si="141"/>
        <v>ー</v>
      </c>
      <c r="BG71" s="252" t="str">
        <f t="shared" si="142"/>
        <v>ー</v>
      </c>
      <c r="BH71" s="252" t="str">
        <f t="shared" si="143"/>
        <v>ー</v>
      </c>
      <c r="BI71" s="252">
        <f t="shared" si="144"/>
        <v>0</v>
      </c>
      <c r="BJ71" s="180"/>
      <c r="BK71" s="205" t="s">
        <v>64</v>
      </c>
      <c r="BL71" s="251">
        <f>空調!X37*空調!AG37*空調!Q37</f>
        <v>0</v>
      </c>
      <c r="BM71" s="252" t="str">
        <f t="shared" si="145"/>
        <v>ー</v>
      </c>
      <c r="BN71" s="252" t="str">
        <f t="shared" si="146"/>
        <v>ー</v>
      </c>
      <c r="BO71" s="252" t="str">
        <f t="shared" si="147"/>
        <v>ー</v>
      </c>
      <c r="BP71" s="252" t="str">
        <f t="shared" si="148"/>
        <v>ー</v>
      </c>
      <c r="BQ71" s="252" t="str">
        <f t="shared" si="149"/>
        <v>ー</v>
      </c>
      <c r="BR71" s="252" t="str">
        <f t="shared" si="150"/>
        <v>ー</v>
      </c>
      <c r="BS71" s="252" t="str">
        <f t="shared" si="151"/>
        <v>ー</v>
      </c>
      <c r="BT71" s="252" t="str">
        <f t="shared" si="152"/>
        <v>ー</v>
      </c>
      <c r="BU71" s="252" t="str">
        <f t="shared" si="153"/>
        <v>ー</v>
      </c>
      <c r="BV71" s="252" t="str">
        <f t="shared" si="154"/>
        <v>ー</v>
      </c>
      <c r="BW71" s="252" t="str">
        <f t="shared" si="155"/>
        <v>ー</v>
      </c>
      <c r="BX71" s="252" t="str">
        <f t="shared" si="156"/>
        <v>ー</v>
      </c>
      <c r="BY71" s="252">
        <f t="shared" si="157"/>
        <v>0</v>
      </c>
      <c r="BZ71" s="180"/>
    </row>
    <row r="72" spans="1:78">
      <c r="B72" s="205" t="s">
        <v>65</v>
      </c>
      <c r="C72" s="255">
        <f>IF($E26&lt;&gt;"LPG",VLOOKUP("都市ガス",係数!$B$3:$C$30,2,FALSE),VLOOKUP("液化石油ガス（LPG）",係数!$B$3:$C$30,2,FALSE)/0.458)</f>
        <v>40</v>
      </c>
      <c r="D72" s="275">
        <f>IF($E26&lt;&gt;"LPG",VLOOKUP("都市ガス",係数!$B$3:$H$30,7,FALSE),VLOOKUP("液化石油ガス（LPG）",係数!$B$3:$H$30,7,FALSE)/0.458)</f>
        <v>2.0500000000000002E-3</v>
      </c>
      <c r="E72" s="270">
        <f t="shared" si="128"/>
        <v>0</v>
      </c>
      <c r="F72" s="270">
        <f t="shared" si="121"/>
        <v>0</v>
      </c>
      <c r="H72" s="205" t="s">
        <v>65</v>
      </c>
      <c r="I72" s="251">
        <f>空調!D38*空調!K38*空調!L38</f>
        <v>0</v>
      </c>
      <c r="J72" s="252" t="str">
        <f t="shared" ref="J72:U72" si="187">IFERROR(IF($C26="事務所",$I72*$D26*J26*J$4*860/$F26,$I72*$D26*J26*J$5*860/$F26),"ー")</f>
        <v>ー</v>
      </c>
      <c r="K72" s="252" t="str">
        <f t="shared" si="187"/>
        <v>ー</v>
      </c>
      <c r="L72" s="252" t="str">
        <f t="shared" si="187"/>
        <v>ー</v>
      </c>
      <c r="M72" s="252" t="str">
        <f t="shared" si="187"/>
        <v>ー</v>
      </c>
      <c r="N72" s="252" t="str">
        <f t="shared" si="187"/>
        <v>ー</v>
      </c>
      <c r="O72" s="252" t="str">
        <f t="shared" si="187"/>
        <v>ー</v>
      </c>
      <c r="P72" s="252" t="str">
        <f t="shared" si="187"/>
        <v>ー</v>
      </c>
      <c r="Q72" s="252" t="str">
        <f t="shared" si="187"/>
        <v>ー</v>
      </c>
      <c r="R72" s="252" t="str">
        <f t="shared" si="187"/>
        <v>ー</v>
      </c>
      <c r="S72" s="252" t="str">
        <f t="shared" si="187"/>
        <v>ー</v>
      </c>
      <c r="T72" s="252" t="str">
        <f t="shared" si="187"/>
        <v>ー</v>
      </c>
      <c r="U72" s="252" t="str">
        <f t="shared" si="187"/>
        <v>ー</v>
      </c>
      <c r="V72" s="252">
        <f t="shared" si="130"/>
        <v>0</v>
      </c>
      <c r="W72" s="180"/>
      <c r="X72" s="205" t="s">
        <v>65</v>
      </c>
      <c r="Y72" s="251">
        <f>空調!D38*空調!P38*空調!Q38</f>
        <v>0</v>
      </c>
      <c r="Z72" s="252" t="str">
        <f t="shared" ref="Z72:AK72" si="188">IFERROR(IF($C26="事務所",$Y72*$D26*Z26*Z$4*860/$F26,$Y72*$D26*Z26*Z$5*860/$F26),"ー")</f>
        <v>ー</v>
      </c>
      <c r="AA72" s="252" t="str">
        <f t="shared" si="188"/>
        <v>ー</v>
      </c>
      <c r="AB72" s="252" t="str">
        <f t="shared" si="188"/>
        <v>ー</v>
      </c>
      <c r="AC72" s="252" t="str">
        <f t="shared" si="188"/>
        <v>ー</v>
      </c>
      <c r="AD72" s="252" t="str">
        <f t="shared" si="188"/>
        <v>ー</v>
      </c>
      <c r="AE72" s="252" t="str">
        <f t="shared" si="188"/>
        <v>ー</v>
      </c>
      <c r="AF72" s="252" t="str">
        <f t="shared" si="188"/>
        <v>ー</v>
      </c>
      <c r="AG72" s="252" t="str">
        <f t="shared" si="188"/>
        <v>ー</v>
      </c>
      <c r="AH72" s="252" t="str">
        <f t="shared" si="188"/>
        <v>ー</v>
      </c>
      <c r="AI72" s="252" t="str">
        <f t="shared" si="188"/>
        <v>ー</v>
      </c>
      <c r="AJ72" s="252" t="str">
        <f t="shared" si="188"/>
        <v>ー</v>
      </c>
      <c r="AK72" s="252" t="str">
        <f t="shared" si="188"/>
        <v>ー</v>
      </c>
      <c r="AL72" s="252">
        <f t="shared" si="160"/>
        <v>0</v>
      </c>
      <c r="AM72" s="180"/>
      <c r="AN72" s="205" t="s">
        <v>65</v>
      </c>
      <c r="AO72" s="254">
        <f>IF($AR26&lt;&gt;"LPG",VLOOKUP("都市ガス",係数!$B$3:$C$30,2,FALSE),VLOOKUP("液化石油ガス（LPG）",係数!$B$3:$C$30,2,FALSE)/0.458)</f>
        <v>40</v>
      </c>
      <c r="AP72" s="254">
        <f>IF($AR26&lt;&gt;"LPG",VLOOKUP("都市ガス",係数!$B$3:$H$30,7,FALSE),VLOOKUP("液化石油ガス（LPG）",係数!$B$3:$H$30,7,FALSE)/0.458)</f>
        <v>2.0500000000000002E-3</v>
      </c>
      <c r="AQ72" s="270">
        <f t="shared" si="124"/>
        <v>0</v>
      </c>
      <c r="AR72" s="270">
        <f t="shared" si="125"/>
        <v>0</v>
      </c>
      <c r="AS72" s="277"/>
      <c r="AU72" s="205" t="s">
        <v>65</v>
      </c>
      <c r="AV72" s="251">
        <f>空調!X38*空調!AG38*空調!L38</f>
        <v>0</v>
      </c>
      <c r="AW72" s="252" t="str">
        <f t="shared" si="132"/>
        <v>ー</v>
      </c>
      <c r="AX72" s="252" t="str">
        <f t="shared" si="133"/>
        <v>ー</v>
      </c>
      <c r="AY72" s="252" t="str">
        <f t="shared" si="134"/>
        <v>ー</v>
      </c>
      <c r="AZ72" s="252" t="str">
        <f t="shared" si="135"/>
        <v>ー</v>
      </c>
      <c r="BA72" s="252" t="str">
        <f t="shared" si="136"/>
        <v>ー</v>
      </c>
      <c r="BB72" s="252" t="str">
        <f t="shared" si="137"/>
        <v>ー</v>
      </c>
      <c r="BC72" s="252" t="str">
        <f t="shared" si="138"/>
        <v>ー</v>
      </c>
      <c r="BD72" s="252" t="str">
        <f t="shared" si="139"/>
        <v>ー</v>
      </c>
      <c r="BE72" s="252" t="str">
        <f t="shared" si="140"/>
        <v>ー</v>
      </c>
      <c r="BF72" s="252" t="str">
        <f t="shared" si="141"/>
        <v>ー</v>
      </c>
      <c r="BG72" s="252" t="str">
        <f t="shared" si="142"/>
        <v>ー</v>
      </c>
      <c r="BH72" s="252" t="str">
        <f t="shared" si="143"/>
        <v>ー</v>
      </c>
      <c r="BI72" s="252">
        <f t="shared" si="144"/>
        <v>0</v>
      </c>
      <c r="BJ72" s="180"/>
      <c r="BK72" s="205" t="s">
        <v>65</v>
      </c>
      <c r="BL72" s="251">
        <f>空調!X38*空調!AG38*空調!Q38</f>
        <v>0</v>
      </c>
      <c r="BM72" s="252" t="str">
        <f t="shared" si="145"/>
        <v>ー</v>
      </c>
      <c r="BN72" s="252" t="str">
        <f t="shared" si="146"/>
        <v>ー</v>
      </c>
      <c r="BO72" s="252" t="str">
        <f t="shared" si="147"/>
        <v>ー</v>
      </c>
      <c r="BP72" s="252" t="str">
        <f t="shared" si="148"/>
        <v>ー</v>
      </c>
      <c r="BQ72" s="252" t="str">
        <f t="shared" si="149"/>
        <v>ー</v>
      </c>
      <c r="BR72" s="252" t="str">
        <f t="shared" si="150"/>
        <v>ー</v>
      </c>
      <c r="BS72" s="252" t="str">
        <f t="shared" si="151"/>
        <v>ー</v>
      </c>
      <c r="BT72" s="252" t="str">
        <f t="shared" si="152"/>
        <v>ー</v>
      </c>
      <c r="BU72" s="252" t="str">
        <f t="shared" si="153"/>
        <v>ー</v>
      </c>
      <c r="BV72" s="252" t="str">
        <f t="shared" si="154"/>
        <v>ー</v>
      </c>
      <c r="BW72" s="252" t="str">
        <f t="shared" si="155"/>
        <v>ー</v>
      </c>
      <c r="BX72" s="252" t="str">
        <f t="shared" si="156"/>
        <v>ー</v>
      </c>
      <c r="BY72" s="252">
        <f t="shared" si="157"/>
        <v>0</v>
      </c>
      <c r="BZ72" s="180"/>
    </row>
    <row r="73" spans="1:78">
      <c r="B73" s="205" t="s">
        <v>66</v>
      </c>
      <c r="C73" s="255">
        <f>IF($E27&lt;&gt;"LPG",VLOOKUP("都市ガス",係数!$B$3:$C$30,2,FALSE),VLOOKUP("液化石油ガス（LPG）",係数!$B$3:$C$30,2,FALSE)/0.458)</f>
        <v>40</v>
      </c>
      <c r="D73" s="275">
        <f>IF($E27&lt;&gt;"LPG",VLOOKUP("都市ガス",係数!$B$3:$H$30,7,FALSE),VLOOKUP("液化石油ガス（LPG）",係数!$B$3:$H$30,7,FALSE)/0.458)</f>
        <v>2.0500000000000002E-3</v>
      </c>
      <c r="E73" s="270">
        <f t="shared" si="128"/>
        <v>0</v>
      </c>
      <c r="F73" s="270">
        <f t="shared" si="121"/>
        <v>0</v>
      </c>
      <c r="H73" s="205" t="s">
        <v>66</v>
      </c>
      <c r="I73" s="251">
        <f>空調!D39*空調!K39*空調!L39</f>
        <v>0</v>
      </c>
      <c r="J73" s="252" t="str">
        <f t="shared" ref="J73:U73" si="189">IFERROR(IF($C27="事務所",$I73*$D27*J27*J$4*860/$F27,$I73*$D27*J27*J$5*860/$F27),"ー")</f>
        <v>ー</v>
      </c>
      <c r="K73" s="252" t="str">
        <f t="shared" si="189"/>
        <v>ー</v>
      </c>
      <c r="L73" s="252" t="str">
        <f t="shared" si="189"/>
        <v>ー</v>
      </c>
      <c r="M73" s="252" t="str">
        <f t="shared" si="189"/>
        <v>ー</v>
      </c>
      <c r="N73" s="252" t="str">
        <f t="shared" si="189"/>
        <v>ー</v>
      </c>
      <c r="O73" s="252" t="str">
        <f t="shared" si="189"/>
        <v>ー</v>
      </c>
      <c r="P73" s="252" t="str">
        <f t="shared" si="189"/>
        <v>ー</v>
      </c>
      <c r="Q73" s="252" t="str">
        <f t="shared" si="189"/>
        <v>ー</v>
      </c>
      <c r="R73" s="252" t="str">
        <f t="shared" si="189"/>
        <v>ー</v>
      </c>
      <c r="S73" s="252" t="str">
        <f t="shared" si="189"/>
        <v>ー</v>
      </c>
      <c r="T73" s="252" t="str">
        <f t="shared" si="189"/>
        <v>ー</v>
      </c>
      <c r="U73" s="252" t="str">
        <f t="shared" si="189"/>
        <v>ー</v>
      </c>
      <c r="V73" s="252">
        <f t="shared" si="130"/>
        <v>0</v>
      </c>
      <c r="W73" s="180"/>
      <c r="X73" s="205" t="s">
        <v>66</v>
      </c>
      <c r="Y73" s="251">
        <f>空調!D39*空調!P39*空調!Q39</f>
        <v>0</v>
      </c>
      <c r="Z73" s="252" t="str">
        <f t="shared" ref="Z73:AK73" si="190">IFERROR(IF($C27="事務所",$Y73*$D27*Z27*Z$4*860/$F27,$Y73*$D27*Z27*Z$5*860/$F27),"ー")</f>
        <v>ー</v>
      </c>
      <c r="AA73" s="252" t="str">
        <f t="shared" si="190"/>
        <v>ー</v>
      </c>
      <c r="AB73" s="252" t="str">
        <f t="shared" si="190"/>
        <v>ー</v>
      </c>
      <c r="AC73" s="252" t="str">
        <f t="shared" si="190"/>
        <v>ー</v>
      </c>
      <c r="AD73" s="252" t="str">
        <f t="shared" si="190"/>
        <v>ー</v>
      </c>
      <c r="AE73" s="252" t="str">
        <f t="shared" si="190"/>
        <v>ー</v>
      </c>
      <c r="AF73" s="252" t="str">
        <f t="shared" si="190"/>
        <v>ー</v>
      </c>
      <c r="AG73" s="252" t="str">
        <f t="shared" si="190"/>
        <v>ー</v>
      </c>
      <c r="AH73" s="252" t="str">
        <f t="shared" si="190"/>
        <v>ー</v>
      </c>
      <c r="AI73" s="252" t="str">
        <f t="shared" si="190"/>
        <v>ー</v>
      </c>
      <c r="AJ73" s="252" t="str">
        <f t="shared" si="190"/>
        <v>ー</v>
      </c>
      <c r="AK73" s="252" t="str">
        <f t="shared" si="190"/>
        <v>ー</v>
      </c>
      <c r="AL73" s="252">
        <f t="shared" si="160"/>
        <v>0</v>
      </c>
      <c r="AM73" s="180"/>
      <c r="AN73" s="205" t="s">
        <v>66</v>
      </c>
      <c r="AO73" s="254">
        <f>IF($AR27&lt;&gt;"LPG",VLOOKUP("都市ガス",係数!$B$3:$C$30,2,FALSE),VLOOKUP("液化石油ガス（LPG）",係数!$B$3:$C$30,2,FALSE)/0.458)</f>
        <v>40</v>
      </c>
      <c r="AP73" s="254">
        <f>IF($AR27&lt;&gt;"LPG",VLOOKUP("都市ガス",係数!$B$3:$H$30,7,FALSE),VLOOKUP("液化石油ガス（LPG）",係数!$B$3:$H$30,7,FALSE)/0.458)</f>
        <v>2.0500000000000002E-3</v>
      </c>
      <c r="AQ73" s="270">
        <f t="shared" si="124"/>
        <v>0</v>
      </c>
      <c r="AR73" s="270">
        <f t="shared" si="125"/>
        <v>0</v>
      </c>
      <c r="AS73" s="277"/>
      <c r="AU73" s="205" t="s">
        <v>66</v>
      </c>
      <c r="AV73" s="251">
        <f>空調!X39*空調!AG39*空調!L39</f>
        <v>0</v>
      </c>
      <c r="AW73" s="252" t="str">
        <f t="shared" si="132"/>
        <v>ー</v>
      </c>
      <c r="AX73" s="252" t="str">
        <f t="shared" si="133"/>
        <v>ー</v>
      </c>
      <c r="AY73" s="252" t="str">
        <f t="shared" si="134"/>
        <v>ー</v>
      </c>
      <c r="AZ73" s="252" t="str">
        <f t="shared" si="135"/>
        <v>ー</v>
      </c>
      <c r="BA73" s="252" t="str">
        <f t="shared" si="136"/>
        <v>ー</v>
      </c>
      <c r="BB73" s="252" t="str">
        <f t="shared" si="137"/>
        <v>ー</v>
      </c>
      <c r="BC73" s="252" t="str">
        <f t="shared" si="138"/>
        <v>ー</v>
      </c>
      <c r="BD73" s="252" t="str">
        <f t="shared" si="139"/>
        <v>ー</v>
      </c>
      <c r="BE73" s="252" t="str">
        <f t="shared" si="140"/>
        <v>ー</v>
      </c>
      <c r="BF73" s="252" t="str">
        <f t="shared" si="141"/>
        <v>ー</v>
      </c>
      <c r="BG73" s="252" t="str">
        <f t="shared" si="142"/>
        <v>ー</v>
      </c>
      <c r="BH73" s="252" t="str">
        <f t="shared" si="143"/>
        <v>ー</v>
      </c>
      <c r="BI73" s="252">
        <f t="shared" si="144"/>
        <v>0</v>
      </c>
      <c r="BJ73" s="180"/>
      <c r="BK73" s="205" t="s">
        <v>66</v>
      </c>
      <c r="BL73" s="251">
        <f>空調!X39*空調!AG39*空調!Q39</f>
        <v>0</v>
      </c>
      <c r="BM73" s="252" t="str">
        <f t="shared" si="145"/>
        <v>ー</v>
      </c>
      <c r="BN73" s="252" t="str">
        <f t="shared" si="146"/>
        <v>ー</v>
      </c>
      <c r="BO73" s="252" t="str">
        <f t="shared" si="147"/>
        <v>ー</v>
      </c>
      <c r="BP73" s="252" t="str">
        <f t="shared" si="148"/>
        <v>ー</v>
      </c>
      <c r="BQ73" s="252" t="str">
        <f t="shared" si="149"/>
        <v>ー</v>
      </c>
      <c r="BR73" s="252" t="str">
        <f t="shared" si="150"/>
        <v>ー</v>
      </c>
      <c r="BS73" s="252" t="str">
        <f t="shared" si="151"/>
        <v>ー</v>
      </c>
      <c r="BT73" s="252" t="str">
        <f t="shared" si="152"/>
        <v>ー</v>
      </c>
      <c r="BU73" s="252" t="str">
        <f t="shared" si="153"/>
        <v>ー</v>
      </c>
      <c r="BV73" s="252" t="str">
        <f t="shared" si="154"/>
        <v>ー</v>
      </c>
      <c r="BW73" s="252" t="str">
        <f t="shared" si="155"/>
        <v>ー</v>
      </c>
      <c r="BX73" s="252" t="str">
        <f t="shared" si="156"/>
        <v>ー</v>
      </c>
      <c r="BY73" s="252">
        <f t="shared" si="157"/>
        <v>0</v>
      </c>
      <c r="BZ73" s="180"/>
    </row>
    <row r="74" spans="1:78">
      <c r="B74" s="205" t="s">
        <v>67</v>
      </c>
      <c r="C74" s="255">
        <f>IF($E28&lt;&gt;"LPG",VLOOKUP("都市ガス",係数!$B$3:$C$30,2,FALSE),VLOOKUP("液化石油ガス（LPG）",係数!$B$3:$C$30,2,FALSE)/0.458)</f>
        <v>40</v>
      </c>
      <c r="D74" s="275">
        <f>IF($E28&lt;&gt;"LPG",VLOOKUP("都市ガス",係数!$B$3:$H$30,7,FALSE),VLOOKUP("液化石油ガス（LPG）",係数!$B$3:$H$30,7,FALSE)/0.458)</f>
        <v>2.0500000000000002E-3</v>
      </c>
      <c r="E74" s="270">
        <f t="shared" si="128"/>
        <v>0</v>
      </c>
      <c r="F74" s="270">
        <f t="shared" si="121"/>
        <v>0</v>
      </c>
      <c r="H74" s="205" t="s">
        <v>67</v>
      </c>
      <c r="I74" s="251">
        <f>空調!D40*空調!K40*空調!L40</f>
        <v>0</v>
      </c>
      <c r="J74" s="252" t="str">
        <f t="shared" ref="J74:U74" si="191">IFERROR(IF($C28="事務所",$I74*$D28*J28*J$4*860/$F28,$I74*$D28*J28*J$5*860/$F28),"ー")</f>
        <v>ー</v>
      </c>
      <c r="K74" s="252" t="str">
        <f t="shared" si="191"/>
        <v>ー</v>
      </c>
      <c r="L74" s="252" t="str">
        <f t="shared" si="191"/>
        <v>ー</v>
      </c>
      <c r="M74" s="252" t="str">
        <f t="shared" si="191"/>
        <v>ー</v>
      </c>
      <c r="N74" s="252" t="str">
        <f t="shared" si="191"/>
        <v>ー</v>
      </c>
      <c r="O74" s="252" t="str">
        <f t="shared" si="191"/>
        <v>ー</v>
      </c>
      <c r="P74" s="252" t="str">
        <f t="shared" si="191"/>
        <v>ー</v>
      </c>
      <c r="Q74" s="252" t="str">
        <f t="shared" si="191"/>
        <v>ー</v>
      </c>
      <c r="R74" s="252" t="str">
        <f t="shared" si="191"/>
        <v>ー</v>
      </c>
      <c r="S74" s="252" t="str">
        <f t="shared" si="191"/>
        <v>ー</v>
      </c>
      <c r="T74" s="252" t="str">
        <f t="shared" si="191"/>
        <v>ー</v>
      </c>
      <c r="U74" s="252" t="str">
        <f t="shared" si="191"/>
        <v>ー</v>
      </c>
      <c r="V74" s="252">
        <f t="shared" si="130"/>
        <v>0</v>
      </c>
      <c r="W74" s="180"/>
      <c r="X74" s="205" t="s">
        <v>67</v>
      </c>
      <c r="Y74" s="251">
        <f>空調!D40*空調!P40*空調!Q40</f>
        <v>0</v>
      </c>
      <c r="Z74" s="252" t="str">
        <f t="shared" ref="Z74:AK74" si="192">IFERROR(IF($C28="事務所",$Y74*$D28*Z28*Z$4*860/$F28,$Y74*$D28*Z28*Z$5*860/$F28),"ー")</f>
        <v>ー</v>
      </c>
      <c r="AA74" s="252" t="str">
        <f t="shared" si="192"/>
        <v>ー</v>
      </c>
      <c r="AB74" s="252" t="str">
        <f t="shared" si="192"/>
        <v>ー</v>
      </c>
      <c r="AC74" s="252" t="str">
        <f t="shared" si="192"/>
        <v>ー</v>
      </c>
      <c r="AD74" s="252" t="str">
        <f t="shared" si="192"/>
        <v>ー</v>
      </c>
      <c r="AE74" s="252" t="str">
        <f t="shared" si="192"/>
        <v>ー</v>
      </c>
      <c r="AF74" s="252" t="str">
        <f t="shared" si="192"/>
        <v>ー</v>
      </c>
      <c r="AG74" s="252" t="str">
        <f t="shared" si="192"/>
        <v>ー</v>
      </c>
      <c r="AH74" s="252" t="str">
        <f t="shared" si="192"/>
        <v>ー</v>
      </c>
      <c r="AI74" s="252" t="str">
        <f t="shared" si="192"/>
        <v>ー</v>
      </c>
      <c r="AJ74" s="252" t="str">
        <f t="shared" si="192"/>
        <v>ー</v>
      </c>
      <c r="AK74" s="252" t="str">
        <f t="shared" si="192"/>
        <v>ー</v>
      </c>
      <c r="AL74" s="252">
        <f t="shared" si="160"/>
        <v>0</v>
      </c>
      <c r="AM74" s="180"/>
      <c r="AN74" s="205" t="s">
        <v>67</v>
      </c>
      <c r="AO74" s="254">
        <f>IF($AR28&lt;&gt;"LPG",VLOOKUP("都市ガス",係数!$B$3:$C$30,2,FALSE),VLOOKUP("液化石油ガス（LPG）",係数!$B$3:$C$30,2,FALSE)/0.458)</f>
        <v>40</v>
      </c>
      <c r="AP74" s="254">
        <f>IF($AR28&lt;&gt;"LPG",VLOOKUP("都市ガス",係数!$B$3:$H$30,7,FALSE),VLOOKUP("液化石油ガス（LPG）",係数!$B$3:$H$30,7,FALSE)/0.458)</f>
        <v>2.0500000000000002E-3</v>
      </c>
      <c r="AQ74" s="270">
        <f t="shared" si="124"/>
        <v>0</v>
      </c>
      <c r="AR74" s="270">
        <f t="shared" si="125"/>
        <v>0</v>
      </c>
      <c r="AS74" s="277"/>
      <c r="AU74" s="205" t="s">
        <v>67</v>
      </c>
      <c r="AV74" s="251">
        <f>空調!X40*空調!AG40*空調!L40</f>
        <v>0</v>
      </c>
      <c r="AW74" s="252" t="str">
        <f t="shared" si="132"/>
        <v>ー</v>
      </c>
      <c r="AX74" s="252" t="str">
        <f t="shared" si="133"/>
        <v>ー</v>
      </c>
      <c r="AY74" s="252" t="str">
        <f t="shared" si="134"/>
        <v>ー</v>
      </c>
      <c r="AZ74" s="252" t="str">
        <f t="shared" si="135"/>
        <v>ー</v>
      </c>
      <c r="BA74" s="252" t="str">
        <f t="shared" si="136"/>
        <v>ー</v>
      </c>
      <c r="BB74" s="252" t="str">
        <f t="shared" si="137"/>
        <v>ー</v>
      </c>
      <c r="BC74" s="252" t="str">
        <f t="shared" si="138"/>
        <v>ー</v>
      </c>
      <c r="BD74" s="252" t="str">
        <f t="shared" si="139"/>
        <v>ー</v>
      </c>
      <c r="BE74" s="252" t="str">
        <f t="shared" si="140"/>
        <v>ー</v>
      </c>
      <c r="BF74" s="252" t="str">
        <f t="shared" si="141"/>
        <v>ー</v>
      </c>
      <c r="BG74" s="252" t="str">
        <f t="shared" si="142"/>
        <v>ー</v>
      </c>
      <c r="BH74" s="252" t="str">
        <f t="shared" si="143"/>
        <v>ー</v>
      </c>
      <c r="BI74" s="252">
        <f t="shared" si="144"/>
        <v>0</v>
      </c>
      <c r="BJ74" s="180"/>
      <c r="BK74" s="205" t="s">
        <v>67</v>
      </c>
      <c r="BL74" s="251">
        <f>空調!X40*空調!AG40*空調!Q40</f>
        <v>0</v>
      </c>
      <c r="BM74" s="252" t="str">
        <f t="shared" si="145"/>
        <v>ー</v>
      </c>
      <c r="BN74" s="252" t="str">
        <f t="shared" si="146"/>
        <v>ー</v>
      </c>
      <c r="BO74" s="252" t="str">
        <f t="shared" si="147"/>
        <v>ー</v>
      </c>
      <c r="BP74" s="252" t="str">
        <f t="shared" si="148"/>
        <v>ー</v>
      </c>
      <c r="BQ74" s="252" t="str">
        <f t="shared" si="149"/>
        <v>ー</v>
      </c>
      <c r="BR74" s="252" t="str">
        <f t="shared" si="150"/>
        <v>ー</v>
      </c>
      <c r="BS74" s="252" t="str">
        <f t="shared" si="151"/>
        <v>ー</v>
      </c>
      <c r="BT74" s="252" t="str">
        <f t="shared" si="152"/>
        <v>ー</v>
      </c>
      <c r="BU74" s="252" t="str">
        <f t="shared" si="153"/>
        <v>ー</v>
      </c>
      <c r="BV74" s="252" t="str">
        <f t="shared" si="154"/>
        <v>ー</v>
      </c>
      <c r="BW74" s="252" t="str">
        <f t="shared" si="155"/>
        <v>ー</v>
      </c>
      <c r="BX74" s="252" t="str">
        <f t="shared" si="156"/>
        <v>ー</v>
      </c>
      <c r="BY74" s="252">
        <f t="shared" si="157"/>
        <v>0</v>
      </c>
      <c r="BZ74" s="180"/>
    </row>
    <row r="75" spans="1:78">
      <c r="B75" s="205" t="s">
        <v>68</v>
      </c>
      <c r="C75" s="255">
        <f>IF($E29&lt;&gt;"LPG",VLOOKUP("都市ガス",係数!$B$3:$C$30,2,FALSE),VLOOKUP("液化石油ガス（LPG）",係数!$B$3:$C$30,2,FALSE)/0.458)</f>
        <v>40</v>
      </c>
      <c r="D75" s="275">
        <f>IF($E29&lt;&gt;"LPG",VLOOKUP("都市ガス",係数!$B$3:$H$30,7,FALSE),VLOOKUP("液化石油ガス（LPG）",係数!$B$3:$H$30,7,FALSE)/0.458)</f>
        <v>2.0500000000000002E-3</v>
      </c>
      <c r="E75" s="270">
        <f t="shared" si="128"/>
        <v>0</v>
      </c>
      <c r="F75" s="270">
        <f t="shared" si="121"/>
        <v>0</v>
      </c>
      <c r="H75" s="205" t="s">
        <v>68</v>
      </c>
      <c r="I75" s="251">
        <f>空調!D41*空調!K41*空調!L41</f>
        <v>0</v>
      </c>
      <c r="J75" s="252" t="str">
        <f t="shared" ref="J75:U75" si="193">IFERROR(IF($C29="事務所",$I75*$D29*J29*J$4*860/$F29,$I75*$D29*J29*J$5*860/$F29),"ー")</f>
        <v>ー</v>
      </c>
      <c r="K75" s="252" t="str">
        <f t="shared" si="193"/>
        <v>ー</v>
      </c>
      <c r="L75" s="252" t="str">
        <f t="shared" si="193"/>
        <v>ー</v>
      </c>
      <c r="M75" s="252" t="str">
        <f t="shared" si="193"/>
        <v>ー</v>
      </c>
      <c r="N75" s="252" t="str">
        <f t="shared" si="193"/>
        <v>ー</v>
      </c>
      <c r="O75" s="252" t="str">
        <f t="shared" si="193"/>
        <v>ー</v>
      </c>
      <c r="P75" s="252" t="str">
        <f t="shared" si="193"/>
        <v>ー</v>
      </c>
      <c r="Q75" s="252" t="str">
        <f t="shared" si="193"/>
        <v>ー</v>
      </c>
      <c r="R75" s="252" t="str">
        <f t="shared" si="193"/>
        <v>ー</v>
      </c>
      <c r="S75" s="252" t="str">
        <f t="shared" si="193"/>
        <v>ー</v>
      </c>
      <c r="T75" s="252" t="str">
        <f t="shared" si="193"/>
        <v>ー</v>
      </c>
      <c r="U75" s="252" t="str">
        <f t="shared" si="193"/>
        <v>ー</v>
      </c>
      <c r="V75" s="252">
        <f t="shared" si="130"/>
        <v>0</v>
      </c>
      <c r="W75" s="180"/>
      <c r="X75" s="205" t="s">
        <v>68</v>
      </c>
      <c r="Y75" s="251">
        <f>空調!D41*空調!P41*空調!Q41</f>
        <v>0</v>
      </c>
      <c r="Z75" s="252" t="str">
        <f t="shared" ref="Z75:AK75" si="194">IFERROR(IF($C29="事務所",$Y75*$D29*Z29*Z$4*860/$F29,$Y75*$D29*Z29*Z$5*860/$F29),"ー")</f>
        <v>ー</v>
      </c>
      <c r="AA75" s="252" t="str">
        <f t="shared" si="194"/>
        <v>ー</v>
      </c>
      <c r="AB75" s="252" t="str">
        <f t="shared" si="194"/>
        <v>ー</v>
      </c>
      <c r="AC75" s="252" t="str">
        <f t="shared" si="194"/>
        <v>ー</v>
      </c>
      <c r="AD75" s="252" t="str">
        <f t="shared" si="194"/>
        <v>ー</v>
      </c>
      <c r="AE75" s="252" t="str">
        <f t="shared" si="194"/>
        <v>ー</v>
      </c>
      <c r="AF75" s="252" t="str">
        <f t="shared" si="194"/>
        <v>ー</v>
      </c>
      <c r="AG75" s="252" t="str">
        <f t="shared" si="194"/>
        <v>ー</v>
      </c>
      <c r="AH75" s="252" t="str">
        <f t="shared" si="194"/>
        <v>ー</v>
      </c>
      <c r="AI75" s="252" t="str">
        <f t="shared" si="194"/>
        <v>ー</v>
      </c>
      <c r="AJ75" s="252" t="str">
        <f t="shared" si="194"/>
        <v>ー</v>
      </c>
      <c r="AK75" s="252" t="str">
        <f t="shared" si="194"/>
        <v>ー</v>
      </c>
      <c r="AL75" s="252">
        <f t="shared" si="160"/>
        <v>0</v>
      </c>
      <c r="AM75" s="180"/>
      <c r="AN75" s="205" t="s">
        <v>68</v>
      </c>
      <c r="AO75" s="254">
        <f>IF($AR29&lt;&gt;"LPG",VLOOKUP("都市ガス",係数!$B$3:$C$30,2,FALSE),VLOOKUP("液化石油ガス（LPG）",係数!$B$3:$C$30,2,FALSE)/0.458)</f>
        <v>40</v>
      </c>
      <c r="AP75" s="254">
        <f>IF($AR29&lt;&gt;"LPG",VLOOKUP("都市ガス",係数!$B$3:$H$30,7,FALSE),VLOOKUP("液化石油ガス（LPG）",係数!$B$3:$H$30,7,FALSE)/0.458)</f>
        <v>2.0500000000000002E-3</v>
      </c>
      <c r="AQ75" s="270">
        <f t="shared" si="124"/>
        <v>0</v>
      </c>
      <c r="AR75" s="270">
        <f t="shared" si="125"/>
        <v>0</v>
      </c>
      <c r="AS75" s="277"/>
      <c r="AU75" s="205" t="s">
        <v>68</v>
      </c>
      <c r="AV75" s="251">
        <f>空調!X41*空調!AG41*空調!L41</f>
        <v>0</v>
      </c>
      <c r="AW75" s="252" t="str">
        <f t="shared" si="132"/>
        <v>ー</v>
      </c>
      <c r="AX75" s="252" t="str">
        <f t="shared" si="133"/>
        <v>ー</v>
      </c>
      <c r="AY75" s="252" t="str">
        <f t="shared" si="134"/>
        <v>ー</v>
      </c>
      <c r="AZ75" s="252" t="str">
        <f t="shared" si="135"/>
        <v>ー</v>
      </c>
      <c r="BA75" s="252" t="str">
        <f t="shared" si="136"/>
        <v>ー</v>
      </c>
      <c r="BB75" s="252" t="str">
        <f t="shared" si="137"/>
        <v>ー</v>
      </c>
      <c r="BC75" s="252" t="str">
        <f t="shared" si="138"/>
        <v>ー</v>
      </c>
      <c r="BD75" s="252" t="str">
        <f t="shared" si="139"/>
        <v>ー</v>
      </c>
      <c r="BE75" s="252" t="str">
        <f t="shared" si="140"/>
        <v>ー</v>
      </c>
      <c r="BF75" s="252" t="str">
        <f t="shared" si="141"/>
        <v>ー</v>
      </c>
      <c r="BG75" s="252" t="str">
        <f t="shared" si="142"/>
        <v>ー</v>
      </c>
      <c r="BH75" s="252" t="str">
        <f>IF(AND($AP29&lt;&gt;0,$AQ29&lt;&gt;0),IFERROR(U75*($AP29/$AQ29),"ー"),IFERROR(IF($C29="事務所",$AV75*$D29*BH29*BH$4*860/$AS29,$AV75*$D29*BH29*BH$5*860/$AS29),"ー"))</f>
        <v>ー</v>
      </c>
      <c r="BI75" s="252">
        <f t="shared" si="144"/>
        <v>0</v>
      </c>
      <c r="BJ75" s="180"/>
      <c r="BK75" s="205" t="s">
        <v>68</v>
      </c>
      <c r="BL75" s="251">
        <f>空調!X41*空調!AG41*空調!Q41</f>
        <v>0</v>
      </c>
      <c r="BM75" s="252" t="str">
        <f t="shared" si="145"/>
        <v>ー</v>
      </c>
      <c r="BN75" s="252" t="str">
        <f t="shared" si="146"/>
        <v>ー</v>
      </c>
      <c r="BO75" s="252" t="str">
        <f t="shared" si="147"/>
        <v>ー</v>
      </c>
      <c r="BP75" s="252" t="str">
        <f t="shared" si="148"/>
        <v>ー</v>
      </c>
      <c r="BQ75" s="252" t="str">
        <f t="shared" si="149"/>
        <v>ー</v>
      </c>
      <c r="BR75" s="252" t="str">
        <f t="shared" si="150"/>
        <v>ー</v>
      </c>
      <c r="BS75" s="252" t="str">
        <f t="shared" si="151"/>
        <v>ー</v>
      </c>
      <c r="BT75" s="252" t="str">
        <f t="shared" si="152"/>
        <v>ー</v>
      </c>
      <c r="BU75" s="252" t="str">
        <f t="shared" si="153"/>
        <v>ー</v>
      </c>
      <c r="BV75" s="252" t="str">
        <f t="shared" si="154"/>
        <v>ー</v>
      </c>
      <c r="BW75" s="252" t="str">
        <f t="shared" si="155"/>
        <v>ー</v>
      </c>
      <c r="BX75" s="252" t="str">
        <f t="shared" si="156"/>
        <v>ー</v>
      </c>
      <c r="BY75" s="252">
        <f t="shared" si="157"/>
        <v>0</v>
      </c>
      <c r="BZ75" s="180"/>
    </row>
    <row r="76" spans="1:78" ht="21.5">
      <c r="C76" s="312" t="s">
        <v>1015</v>
      </c>
      <c r="G76" s="241"/>
      <c r="W76" s="180"/>
      <c r="X76" s="312"/>
      <c r="AL76"/>
      <c r="AM76" s="180"/>
      <c r="AO76" s="312" t="s">
        <v>1015</v>
      </c>
      <c r="AT76" s="180"/>
      <c r="AV76" s="312"/>
      <c r="BJ76" s="180"/>
      <c r="BL76" s="312"/>
      <c r="BY76"/>
      <c r="BZ76" s="180"/>
    </row>
    <row r="77" spans="1:78" ht="21.5">
      <c r="A77" s="241" t="s">
        <v>982</v>
      </c>
      <c r="G77" s="241"/>
      <c r="I77" s="222"/>
      <c r="W77" s="180"/>
      <c r="X77" s="222"/>
      <c r="AL77"/>
      <c r="AM77" s="180"/>
      <c r="AT77" s="180"/>
      <c r="AV77" s="222"/>
      <c r="BJ77" s="180"/>
      <c r="BL77" s="222"/>
      <c r="BY77"/>
      <c r="BZ77" s="180"/>
    </row>
    <row r="78" spans="1:78">
      <c r="B78" s="208" t="s">
        <v>985</v>
      </c>
      <c r="H78" s="208" t="s">
        <v>990</v>
      </c>
      <c r="I78" s="209"/>
      <c r="X78" s="208" t="s">
        <v>990</v>
      </c>
      <c r="AN78" s="208"/>
      <c r="AU78" s="208" t="s">
        <v>990</v>
      </c>
      <c r="AV78" s="209"/>
      <c r="BK78" s="208" t="s">
        <v>990</v>
      </c>
    </row>
    <row r="79" spans="1:78">
      <c r="B79" s="215" t="s">
        <v>916</v>
      </c>
      <c r="C79" s="206" t="s">
        <v>922</v>
      </c>
      <c r="D79" s="206" t="s">
        <v>921</v>
      </c>
      <c r="E79" s="206" t="s">
        <v>932</v>
      </c>
      <c r="F79" s="206" t="s">
        <v>924</v>
      </c>
      <c r="H79" s="215" t="s">
        <v>916</v>
      </c>
      <c r="I79" s="206" t="s">
        <v>909</v>
      </c>
      <c r="J79" s="243" t="s">
        <v>894</v>
      </c>
      <c r="K79" s="243" t="s">
        <v>895</v>
      </c>
      <c r="L79" s="243" t="s">
        <v>896</v>
      </c>
      <c r="M79" s="243" t="s">
        <v>897</v>
      </c>
      <c r="N79" s="243" t="s">
        <v>898</v>
      </c>
      <c r="O79" s="243" t="s">
        <v>899</v>
      </c>
      <c r="P79" s="243" t="s">
        <v>900</v>
      </c>
      <c r="Q79" s="243" t="s">
        <v>901</v>
      </c>
      <c r="R79" s="243" t="s">
        <v>902</v>
      </c>
      <c r="S79" s="243" t="s">
        <v>903</v>
      </c>
      <c r="T79" s="243" t="s">
        <v>904</v>
      </c>
      <c r="U79" s="243" t="s">
        <v>905</v>
      </c>
      <c r="V79" s="212"/>
      <c r="X79" s="216" t="s">
        <v>917</v>
      </c>
      <c r="Y79" s="206" t="s">
        <v>909</v>
      </c>
      <c r="Z79" s="243" t="s">
        <v>894</v>
      </c>
      <c r="AA79" s="243" t="s">
        <v>895</v>
      </c>
      <c r="AB79" s="243" t="s">
        <v>896</v>
      </c>
      <c r="AC79" s="243" t="s">
        <v>897</v>
      </c>
      <c r="AD79" s="243" t="s">
        <v>898</v>
      </c>
      <c r="AE79" s="243" t="s">
        <v>899</v>
      </c>
      <c r="AF79" s="243" t="s">
        <v>900</v>
      </c>
      <c r="AG79" s="243" t="s">
        <v>901</v>
      </c>
      <c r="AH79" s="243" t="s">
        <v>902</v>
      </c>
      <c r="AI79" s="243" t="s">
        <v>903</v>
      </c>
      <c r="AJ79" s="243" t="s">
        <v>904</v>
      </c>
      <c r="AK79" s="243" t="s">
        <v>905</v>
      </c>
      <c r="AL79" s="212"/>
      <c r="AN79" s="215" t="s">
        <v>925</v>
      </c>
      <c r="AO79" s="206" t="s">
        <v>922</v>
      </c>
      <c r="AP79" s="206" t="s">
        <v>930</v>
      </c>
      <c r="AQ79" s="206" t="s">
        <v>931</v>
      </c>
      <c r="AR79" s="206" t="s">
        <v>932</v>
      </c>
      <c r="AS79" s="206" t="s">
        <v>924</v>
      </c>
      <c r="AU79" s="215" t="s">
        <v>925</v>
      </c>
      <c r="AV79" s="206" t="s">
        <v>909</v>
      </c>
      <c r="AW79" s="243" t="s">
        <v>894</v>
      </c>
      <c r="AX79" s="243" t="s">
        <v>895</v>
      </c>
      <c r="AY79" s="243" t="s">
        <v>896</v>
      </c>
      <c r="AZ79" s="243" t="s">
        <v>897</v>
      </c>
      <c r="BA79" s="243" t="s">
        <v>898</v>
      </c>
      <c r="BB79" s="243" t="s">
        <v>899</v>
      </c>
      <c r="BC79" s="243" t="s">
        <v>900</v>
      </c>
      <c r="BD79" s="243" t="s">
        <v>901</v>
      </c>
      <c r="BE79" s="243" t="s">
        <v>902</v>
      </c>
      <c r="BF79" s="243" t="s">
        <v>903</v>
      </c>
      <c r="BG79" s="243" t="s">
        <v>904</v>
      </c>
      <c r="BH79" s="243" t="s">
        <v>905</v>
      </c>
      <c r="BI79" s="212"/>
      <c r="BK79" s="216" t="s">
        <v>926</v>
      </c>
      <c r="BL79" s="206" t="s">
        <v>909</v>
      </c>
      <c r="BM79" s="243" t="s">
        <v>894</v>
      </c>
      <c r="BN79" s="243" t="s">
        <v>895</v>
      </c>
      <c r="BO79" s="243" t="s">
        <v>896</v>
      </c>
      <c r="BP79" s="243" t="s">
        <v>897</v>
      </c>
      <c r="BQ79" s="243" t="s">
        <v>898</v>
      </c>
      <c r="BR79" s="243" t="s">
        <v>899</v>
      </c>
      <c r="BS79" s="243" t="s">
        <v>900</v>
      </c>
      <c r="BT79" s="243" t="s">
        <v>901</v>
      </c>
      <c r="BU79" s="243" t="s">
        <v>902</v>
      </c>
      <c r="BV79" s="243" t="s">
        <v>903</v>
      </c>
      <c r="BW79" s="243" t="s">
        <v>904</v>
      </c>
      <c r="BX79" s="243" t="s">
        <v>905</v>
      </c>
      <c r="BY79" s="212"/>
    </row>
    <row r="80" spans="1:78">
      <c r="B80" s="205" t="s">
        <v>49</v>
      </c>
      <c r="C80" s="250" t="s">
        <v>979</v>
      </c>
      <c r="D80" s="253">
        <f>IF(空調!E61="",1,MIN(1.5,(2025-空調!E61)*0.02+1))</f>
        <v>1.5</v>
      </c>
      <c r="E80" s="254">
        <f>空調!H61</f>
        <v>0</v>
      </c>
      <c r="F80" s="147">
        <f>IF(E80=0,0,IF(E80="13A（都市ガス）",VLOOKUP("13A",空調負荷率!$C$3:$E$5,2,FALSE),IF(E80="12A（都市ガス）",VLOOKUP("12A",空調負荷率!$C$3:$E$5,2,FALSE),VLOOKUP("LP",空調負荷率!$C$3:$E$5,2,FALSE))))</f>
        <v>0</v>
      </c>
      <c r="H80" s="205" t="s">
        <v>49</v>
      </c>
      <c r="I80" s="251">
        <f>空調!$M61</f>
        <v>100</v>
      </c>
      <c r="J80" s="252">
        <f>IF($C80="事務所",MIN(I80-SUM(K80:P80,U80),J$3),MIN(I80-SUM(K80:P80),J$3))</f>
        <v>0</v>
      </c>
      <c r="K80" s="252">
        <f>IF($C80="事務所",MIN(I80-SUM(L80:O80),K$3),MIN(I80-SUM(L80:O80),K$3))</f>
        <v>0</v>
      </c>
      <c r="L80" s="252">
        <f>IF($C80="事務所",MIN(I80-SUM(M80:O80),$L$3),MIN(I80-SUM(M80:O80),$L$3))</f>
        <v>8</v>
      </c>
      <c r="M80" s="252">
        <f>IF($C80="事務所",MIN(I80-SUM(N80),M$3),MIN(I80,M$3))</f>
        <v>31</v>
      </c>
      <c r="N80" s="252">
        <f>IF($C80="事務所",MIN(I80,N$3),MIN(I80-SUM(M80),N$3))</f>
        <v>31</v>
      </c>
      <c r="O80" s="252">
        <f>IF($C80="事務所",MIN(I80-SUM(M80:N80),O$3),MIN(I80-SUM(M80:N80),O$3))</f>
        <v>30</v>
      </c>
      <c r="P80" s="252">
        <f>IF($C80="事務所",MIN(I80-SUM(K80:O80),P$3),MIN(I80-SUM(K80:O80),$P$3))</f>
        <v>0</v>
      </c>
      <c r="Q80" s="252">
        <f>IF($C80="事務所",MIN(I80-SUM(J80:P80,U80),Q$3),MIN(I80-SUM(J80:P80),Q$3))</f>
        <v>0</v>
      </c>
      <c r="R80" s="252" t="s">
        <v>387</v>
      </c>
      <c r="S80" s="252" t="s">
        <v>382</v>
      </c>
      <c r="T80" s="252" t="s">
        <v>382</v>
      </c>
      <c r="U80" s="252">
        <f>IF($C80="事務所",MIN(I80-SUM(K80:P80),U$3),MIN(I80-SUM(J80:Q80),U$3))</f>
        <v>0</v>
      </c>
      <c r="V80" s="212"/>
      <c r="X80" s="205" t="s">
        <v>49</v>
      </c>
      <c r="Y80" s="251">
        <f>空調!$R61</f>
        <v>80</v>
      </c>
      <c r="Z80" s="252">
        <f>IF($C80="事務所",MIN(Y80-SUM(AG80:AK80),Z$3),MIN(Y80-SUM(AG80:AK80),Z$3))</f>
        <v>0</v>
      </c>
      <c r="AA80" s="252">
        <f>IF($C80="事務所",MIN(Y80-SUM(AG80:AK80,Z80),AA$3),MIN(Y80-SUM(AG80:AK80,Z80),AA$3))</f>
        <v>0</v>
      </c>
      <c r="AB80" s="252" t="s">
        <v>382</v>
      </c>
      <c r="AC80" s="252" t="s">
        <v>382</v>
      </c>
      <c r="AD80" s="252" t="s">
        <v>382</v>
      </c>
      <c r="AE80" s="252" t="s">
        <v>382</v>
      </c>
      <c r="AF80" s="252" t="str">
        <f>IF($C80="事務所","ー",MIN(Y80-SUM(AG80:AK80,Z80:AA80),AF$3))</f>
        <v>ー</v>
      </c>
      <c r="AG80" s="252">
        <f>IF($C80="事務所",MIN(Y80-SUM(AH80:AK80),AG$3),MIN(Y80-SUM(AH80:AK80),AG$3))</f>
        <v>0</v>
      </c>
      <c r="AH80" s="252">
        <f>IF($C80="事務所",MIN(Y80-SUM(AI80:AJ80),AH$3),MIN(Y80-SUM(AI80:AK80),AH$3))</f>
        <v>21</v>
      </c>
      <c r="AI80" s="252">
        <f>IF($C80="事務所",MIN(Y80,AI$3),MIN(Y80,AI$3))</f>
        <v>31</v>
      </c>
      <c r="AJ80" s="252">
        <f>IF($C80="事務所",MIN(Y80-SUM(AI80),AJ$3),MIN(Y80-SUM(AI80),AJ$3))</f>
        <v>28</v>
      </c>
      <c r="AK80" s="252">
        <f>IF($C80="事務所",MIN(Y80-SUM(AH80:AJ80),AK$3),MIN(Y80-SUM(AI80:AJ80),AK$3))</f>
        <v>0</v>
      </c>
      <c r="AL80" s="212"/>
      <c r="AN80" s="205" t="s">
        <v>49</v>
      </c>
      <c r="AO80" s="250" t="str">
        <f>C80</f>
        <v>事務所</v>
      </c>
      <c r="AP80" s="257">
        <f>空調!F61</f>
        <v>0</v>
      </c>
      <c r="AQ80" s="257">
        <f>空調!Y61</f>
        <v>0</v>
      </c>
      <c r="AR80" s="254">
        <f>空調!AA61</f>
        <v>0</v>
      </c>
      <c r="AS80" s="147">
        <f>IF(AR80=0,0,IF(AR80="13A（都市ガス）",VLOOKUP("13A",空調負荷率!$AO$3:$AQ$5,2,FALSE),IF(AR80="12A（都市ガス）",VLOOKUP("12A",空調負荷率!$AO$3:$AQ$5,2,FALSE),VLOOKUP("LP",空調負荷率!$C$3:$E$5,2,FALSE))))</f>
        <v>0</v>
      </c>
      <c r="AU80" s="205" t="s">
        <v>49</v>
      </c>
      <c r="AV80" s="250">
        <f t="shared" ref="AV80:BH84" si="195">I80</f>
        <v>100</v>
      </c>
      <c r="AW80" s="250">
        <f t="shared" si="195"/>
        <v>0</v>
      </c>
      <c r="AX80" s="250">
        <f t="shared" si="195"/>
        <v>0</v>
      </c>
      <c r="AY80" s="250">
        <f t="shared" si="195"/>
        <v>8</v>
      </c>
      <c r="AZ80" s="250">
        <f t="shared" si="195"/>
        <v>31</v>
      </c>
      <c r="BA80" s="250">
        <f t="shared" si="195"/>
        <v>31</v>
      </c>
      <c r="BB80" s="250">
        <f t="shared" si="195"/>
        <v>30</v>
      </c>
      <c r="BC80" s="250">
        <f t="shared" si="195"/>
        <v>0</v>
      </c>
      <c r="BD80" s="250">
        <f t="shared" si="195"/>
        <v>0</v>
      </c>
      <c r="BE80" s="250" t="str">
        <f t="shared" si="195"/>
        <v>ー</v>
      </c>
      <c r="BF80" s="250" t="str">
        <f t="shared" si="195"/>
        <v>ー</v>
      </c>
      <c r="BG80" s="250" t="str">
        <f t="shared" si="195"/>
        <v>ー</v>
      </c>
      <c r="BH80" s="250">
        <f t="shared" si="195"/>
        <v>0</v>
      </c>
      <c r="BI80" s="212"/>
      <c r="BK80" s="205" t="s">
        <v>49</v>
      </c>
      <c r="BL80" s="251">
        <f t="shared" ref="BL80:BX84" si="196">Y80</f>
        <v>80</v>
      </c>
      <c r="BM80" s="251">
        <f t="shared" si="196"/>
        <v>0</v>
      </c>
      <c r="BN80" s="251">
        <f t="shared" si="196"/>
        <v>0</v>
      </c>
      <c r="BO80" s="251" t="str">
        <f t="shared" si="196"/>
        <v>ー</v>
      </c>
      <c r="BP80" s="251" t="str">
        <f t="shared" si="196"/>
        <v>ー</v>
      </c>
      <c r="BQ80" s="251" t="str">
        <f t="shared" si="196"/>
        <v>ー</v>
      </c>
      <c r="BR80" s="251" t="str">
        <f t="shared" si="196"/>
        <v>ー</v>
      </c>
      <c r="BS80" s="251" t="str">
        <f t="shared" si="196"/>
        <v>ー</v>
      </c>
      <c r="BT80" s="251">
        <f t="shared" si="196"/>
        <v>0</v>
      </c>
      <c r="BU80" s="251">
        <f t="shared" si="196"/>
        <v>21</v>
      </c>
      <c r="BV80" s="251">
        <f t="shared" si="196"/>
        <v>31</v>
      </c>
      <c r="BW80" s="251">
        <f t="shared" si="196"/>
        <v>28</v>
      </c>
      <c r="BX80" s="251">
        <f t="shared" si="196"/>
        <v>0</v>
      </c>
      <c r="BY80" s="212"/>
    </row>
    <row r="81" spans="2:78">
      <c r="B81" s="205" t="s">
        <v>50</v>
      </c>
      <c r="C81" s="250" t="s">
        <v>1058</v>
      </c>
      <c r="D81" s="253">
        <f>IF(空調!E62="",1,MIN(1.5,(2025-空調!E62)*0.02+1))</f>
        <v>1.44</v>
      </c>
      <c r="E81" s="254" t="str">
        <f>空調!H62</f>
        <v>13A（都市ガス）</v>
      </c>
      <c r="F81" s="147">
        <f>IF(E81=0,0,IF(E81="13A（都市ガス）",VLOOKUP("13A",空調負荷率!$C$3:$E$5,2,FALSE),IF(E81="12A（都市ガス）",VLOOKUP("12A",空調負荷率!$C$3:$E$5,2,FALSE),VLOOKUP("LP",空調負荷率!$C$3:$E$5,2,FALSE))))</f>
        <v>11000</v>
      </c>
      <c r="H81" s="205" t="s">
        <v>50</v>
      </c>
      <c r="I81" s="251">
        <f>空調!$M62</f>
        <v>80</v>
      </c>
      <c r="J81" s="252">
        <f>IF($C81="事務所",MIN(I81-SUM(K81:P81,U81),J$3),MIN(I81-SUM(K81:P81),J$3))</f>
        <v>0</v>
      </c>
      <c r="K81" s="252">
        <f>IF($C81="事務所",MIN(I81-SUM(L81:O81),K$3),MIN(I81-SUM(L81:O81),K$3))</f>
        <v>0</v>
      </c>
      <c r="L81" s="252">
        <f>IF($C81="事務所",MIN(I81-SUM(M81:O81),$L$3),MIN(I81-SUM(M81:O81),$L$3))</f>
        <v>0</v>
      </c>
      <c r="M81" s="252">
        <f>IF($C81="事務所",MIN(I81-SUM(N81),M$3),MIN(I81,M$3))</f>
        <v>31</v>
      </c>
      <c r="N81" s="252">
        <f>IF($C81="事務所",MIN(I81,N$3),MIN(I81-SUM(M81),N$3))</f>
        <v>31</v>
      </c>
      <c r="O81" s="252">
        <f>IF($C81="事務所",MIN(I81-SUM(M81:N81),O$3),MIN(I81-SUM(M81:N81),O$3))</f>
        <v>18</v>
      </c>
      <c r="P81" s="252">
        <f>IF($C81="事務所",MIN(I81-SUM(K81:O81),P$3),MIN(I81-SUM(K81:O81),$P$3))</f>
        <v>0</v>
      </c>
      <c r="Q81" s="252">
        <f>IF($C81="事務所",MIN(I81-SUM(J81:P81,U81),Q$3),MIN(I81-SUM(J81:P81),Q$3))</f>
        <v>0</v>
      </c>
      <c r="R81" s="252" t="s">
        <v>387</v>
      </c>
      <c r="S81" s="252" t="s">
        <v>382</v>
      </c>
      <c r="T81" s="252" t="s">
        <v>382</v>
      </c>
      <c r="U81" s="252">
        <f>IF($C81="事務所",MIN(I81-SUM(K81:P81),U$3),MIN(I81-SUM(J81:Q81),U$3))</f>
        <v>0</v>
      </c>
      <c r="V81" s="212"/>
      <c r="X81" s="205" t="s">
        <v>50</v>
      </c>
      <c r="Y81" s="251">
        <f>空調!$R62</f>
        <v>110</v>
      </c>
      <c r="Z81" s="252">
        <f>IF($C81="事務所",MIN(Y81-SUM(AG81:AK81),Z$3),MIN(Y81-SUM(AG81:AK81),Z$3))</f>
        <v>0</v>
      </c>
      <c r="AA81" s="252">
        <f>IF($C81="事務所",MIN(Y81-SUM(AG81:AK81,Z81),AA$3),MIN(Y81-SUM(AG81:AK81,Z81),AA$3))</f>
        <v>0</v>
      </c>
      <c r="AB81" s="252" t="s">
        <v>382</v>
      </c>
      <c r="AC81" s="252" t="s">
        <v>382</v>
      </c>
      <c r="AD81" s="252" t="s">
        <v>382</v>
      </c>
      <c r="AE81" s="252" t="s">
        <v>382</v>
      </c>
      <c r="AF81" s="252">
        <f>IF($C81="事務所","ー",MIN(Y81-SUM(AG81:AK81,Z81:AA81),AF$3))</f>
        <v>0</v>
      </c>
      <c r="AG81" s="252">
        <f>IF($C81="事務所",MIN(Y81-SUM(AH81:AK81),AG$3),MIN(Y81-SUM(AH81:AK81),AG$3))</f>
        <v>0</v>
      </c>
      <c r="AH81" s="252">
        <f>IF($C81="事務所",MIN(Y81-SUM(AI81:AJ81),AH$3),MIN(Y81-SUM(AI81:AK81),AH$3))</f>
        <v>20</v>
      </c>
      <c r="AI81" s="252">
        <f>IF($C81="事務所",MIN(Y81,AI$3),MIN(Y81,AI$3))</f>
        <v>31</v>
      </c>
      <c r="AJ81" s="252">
        <f>IF($C81="事務所",MIN(Y81-SUM(AI81),AJ$3),MIN(Y81-SUM(AI81),AJ$3))</f>
        <v>28</v>
      </c>
      <c r="AK81" s="252">
        <f>IF($C81="事務所",MIN(Y81-SUM(AH81:AJ81),AK$3),MIN(Y81-SUM(AI81:AJ81),AK$3))</f>
        <v>31</v>
      </c>
      <c r="AL81" s="212"/>
      <c r="AN81" s="205" t="s">
        <v>50</v>
      </c>
      <c r="AO81" s="250" t="str">
        <f>C81</f>
        <v>店舗・工場等</v>
      </c>
      <c r="AP81" s="257">
        <f>空調!F62</f>
        <v>0</v>
      </c>
      <c r="AQ81" s="257">
        <f>空調!Y62</f>
        <v>0</v>
      </c>
      <c r="AR81" s="254" t="str">
        <f>空調!AA62</f>
        <v>13A（都市ガス）</v>
      </c>
      <c r="AS81" s="147">
        <f>IF(AR81=0,0,IF(AR81="13A（都市ガス）",VLOOKUP("13A",空調負荷率!$AO$3:$AQ$5,2,FALSE),IF(AR81="12A（都市ガス）",VLOOKUP("12A",空調負荷率!$AO$3:$AQ$5,2,FALSE),VLOOKUP("LP",空調負荷率!$C$3:$E$5,2,FALSE))))</f>
        <v>11000</v>
      </c>
      <c r="AU81" s="205" t="s">
        <v>50</v>
      </c>
      <c r="AV81" s="250">
        <f t="shared" si="195"/>
        <v>80</v>
      </c>
      <c r="AW81" s="250">
        <f t="shared" si="195"/>
        <v>0</v>
      </c>
      <c r="AX81" s="250">
        <f t="shared" si="195"/>
        <v>0</v>
      </c>
      <c r="AY81" s="250">
        <f t="shared" si="195"/>
        <v>0</v>
      </c>
      <c r="AZ81" s="250">
        <f t="shared" si="195"/>
        <v>31</v>
      </c>
      <c r="BA81" s="250">
        <f t="shared" si="195"/>
        <v>31</v>
      </c>
      <c r="BB81" s="250">
        <f t="shared" si="195"/>
        <v>18</v>
      </c>
      <c r="BC81" s="250">
        <f t="shared" si="195"/>
        <v>0</v>
      </c>
      <c r="BD81" s="250">
        <f t="shared" si="195"/>
        <v>0</v>
      </c>
      <c r="BE81" s="250" t="str">
        <f t="shared" si="195"/>
        <v>ー</v>
      </c>
      <c r="BF81" s="250" t="str">
        <f t="shared" si="195"/>
        <v>ー</v>
      </c>
      <c r="BG81" s="250" t="str">
        <f t="shared" si="195"/>
        <v>ー</v>
      </c>
      <c r="BH81" s="250">
        <f t="shared" si="195"/>
        <v>0</v>
      </c>
      <c r="BI81" s="212"/>
      <c r="BK81" s="205" t="s">
        <v>50</v>
      </c>
      <c r="BL81" s="251">
        <f t="shared" si="196"/>
        <v>110</v>
      </c>
      <c r="BM81" s="251">
        <f t="shared" si="196"/>
        <v>0</v>
      </c>
      <c r="BN81" s="251">
        <f t="shared" si="196"/>
        <v>0</v>
      </c>
      <c r="BO81" s="251" t="str">
        <f t="shared" si="196"/>
        <v>ー</v>
      </c>
      <c r="BP81" s="251" t="str">
        <f t="shared" si="196"/>
        <v>ー</v>
      </c>
      <c r="BQ81" s="251" t="str">
        <f t="shared" si="196"/>
        <v>ー</v>
      </c>
      <c r="BR81" s="251" t="str">
        <f t="shared" si="196"/>
        <v>ー</v>
      </c>
      <c r="BS81" s="251">
        <f t="shared" si="196"/>
        <v>0</v>
      </c>
      <c r="BT81" s="251">
        <f t="shared" si="196"/>
        <v>0</v>
      </c>
      <c r="BU81" s="251">
        <f t="shared" si="196"/>
        <v>20</v>
      </c>
      <c r="BV81" s="251">
        <f t="shared" si="196"/>
        <v>31</v>
      </c>
      <c r="BW81" s="251">
        <f t="shared" si="196"/>
        <v>28</v>
      </c>
      <c r="BX81" s="251">
        <f t="shared" si="196"/>
        <v>31</v>
      </c>
      <c r="BY81" s="212"/>
    </row>
    <row r="82" spans="2:78">
      <c r="B82" s="205" t="s">
        <v>51</v>
      </c>
      <c r="C82" s="250" t="s">
        <v>979</v>
      </c>
      <c r="D82" s="253">
        <f>IF(空調!E63="",1,MIN(1.5,(2025-空調!E63)*0.02+1))</f>
        <v>1.28</v>
      </c>
      <c r="E82" s="254">
        <f>空調!H63</f>
        <v>0</v>
      </c>
      <c r="F82" s="147">
        <f>IF(E82=0,0,IF(E82="13A（都市ガス）",VLOOKUP("13A",空調負荷率!$C$3:$E$5,2,FALSE),IF(E82="12A（都市ガス）",VLOOKUP("12A",空調負荷率!$C$3:$E$5,2,FALSE),VLOOKUP("LP",空調負荷率!$C$3:$E$5,2,FALSE))))</f>
        <v>0</v>
      </c>
      <c r="H82" s="205" t="s">
        <v>51</v>
      </c>
      <c r="I82" s="251">
        <f>空調!$M63</f>
        <v>100</v>
      </c>
      <c r="J82" s="252">
        <f>IF($C82="事務所",MIN(I82-SUM(K82:P82,U82),J$3),MIN(I82-SUM(K82:P82),J$3))</f>
        <v>0</v>
      </c>
      <c r="K82" s="252">
        <f>IF($C82="事務所",MIN(I82-SUM(L82:O82),K$3),MIN(I82-SUM(L82:O82),K$3))</f>
        <v>0</v>
      </c>
      <c r="L82" s="252">
        <f>IF($C82="事務所",MIN(I82-SUM(M82:O82),$L$3),MIN(I82-SUM(M82:O82),$L$3))</f>
        <v>8</v>
      </c>
      <c r="M82" s="252">
        <f>IF($C82="事務所",MIN(I82-SUM(N82),M$3),MIN(I82,M$3))</f>
        <v>31</v>
      </c>
      <c r="N82" s="252">
        <f>IF($C82="事務所",MIN(I82,N$3),MIN(I82-SUM(M82),N$3))</f>
        <v>31</v>
      </c>
      <c r="O82" s="252">
        <f>IF($C82="事務所",MIN(I82-SUM(M82:N82),O$3),MIN(I82-SUM(M82:N82),O$3))</f>
        <v>30</v>
      </c>
      <c r="P82" s="252">
        <f>IF($C82="事務所",MIN(I82-SUM(K82:O82),P$3),MIN(I82-SUM(K82:O82),$P$3))</f>
        <v>0</v>
      </c>
      <c r="Q82" s="252">
        <f>IF($C82="事務所",MIN(I82-SUM(J82:P82,U82),Q$3),MIN(I82-SUM(J82:P82),Q$3))</f>
        <v>0</v>
      </c>
      <c r="R82" s="252" t="s">
        <v>387</v>
      </c>
      <c r="S82" s="252" t="s">
        <v>382</v>
      </c>
      <c r="T82" s="252" t="s">
        <v>382</v>
      </c>
      <c r="U82" s="252">
        <f>IF($C82="事務所",MIN(I82-SUM(K82:P82),U$3),MIN(I82-SUM(J82:Q82),U$3))</f>
        <v>0</v>
      </c>
      <c r="V82" s="212"/>
      <c r="X82" s="205" t="s">
        <v>51</v>
      </c>
      <c r="Y82" s="251">
        <f>空調!$R63</f>
        <v>80</v>
      </c>
      <c r="Z82" s="252">
        <f>IF($C82="事務所",MIN(Y82-SUM(AG82:AK82),Z$3),MIN(Y82-SUM(AG82:AK82),Z$3))</f>
        <v>0</v>
      </c>
      <c r="AA82" s="252">
        <f>IF($C82="事務所",MIN(Y82-SUM(AG82:AK82,Z82),AA$3),MIN(Y82-SUM(AG82:AK82,Z82),AA$3))</f>
        <v>0</v>
      </c>
      <c r="AB82" s="252" t="s">
        <v>382</v>
      </c>
      <c r="AC82" s="252" t="s">
        <v>382</v>
      </c>
      <c r="AD82" s="252" t="s">
        <v>382</v>
      </c>
      <c r="AE82" s="252" t="s">
        <v>382</v>
      </c>
      <c r="AF82" s="252" t="str">
        <f>IF($C82="事務所","ー",MIN(Y82-SUM(AG82:AK82,Z82:AA82),AF$3))</f>
        <v>ー</v>
      </c>
      <c r="AG82" s="252">
        <f>IF($C82="事務所",MIN(Y82-SUM(AH82:AK82),AG$3),MIN(Y82-SUM(AH82:AK82),AG$3))</f>
        <v>0</v>
      </c>
      <c r="AH82" s="252">
        <f>IF($C82="事務所",MIN(Y82-SUM(AI82:AJ82),AH$3),MIN(Y82-SUM(AI82:AK82),AH$3))</f>
        <v>21</v>
      </c>
      <c r="AI82" s="252">
        <f>IF($C82="事務所",MIN(Y82,AI$3),MIN(Y82,AI$3))</f>
        <v>31</v>
      </c>
      <c r="AJ82" s="252">
        <f>IF($C82="事務所",MIN(Y82-SUM(AI82),AJ$3),MIN(Y82-SUM(AI82),AJ$3))</f>
        <v>28</v>
      </c>
      <c r="AK82" s="252">
        <f>IF($C82="事務所",MIN(Y82-SUM(AH82:AJ82),AK$3),MIN(Y82-SUM(AI82:AJ82),AK$3))</f>
        <v>0</v>
      </c>
      <c r="AL82" s="212"/>
      <c r="AN82" s="205" t="s">
        <v>51</v>
      </c>
      <c r="AO82" s="250" t="str">
        <f>C82</f>
        <v>事務所</v>
      </c>
      <c r="AP82" s="257">
        <f>空調!F63</f>
        <v>4.3</v>
      </c>
      <c r="AQ82" s="257">
        <f>空調!Y63</f>
        <v>5.0999999999999996</v>
      </c>
      <c r="AR82" s="254">
        <f>空調!AA63</f>
        <v>0</v>
      </c>
      <c r="AS82" s="147">
        <f>IF(AR82=0,0,IF(AR82="13A（都市ガス）",VLOOKUP("13A",空調負荷率!$AO$3:$AQ$5,2,FALSE),IF(AR82="12A（都市ガス）",VLOOKUP("12A",空調負荷率!$AO$3:$AQ$5,2,FALSE),VLOOKUP("LP",空調負荷率!$C$3:$E$5,2,FALSE))))</f>
        <v>0</v>
      </c>
      <c r="AU82" s="205" t="s">
        <v>51</v>
      </c>
      <c r="AV82" s="250">
        <f t="shared" si="195"/>
        <v>100</v>
      </c>
      <c r="AW82" s="250">
        <f t="shared" si="195"/>
        <v>0</v>
      </c>
      <c r="AX82" s="250">
        <f t="shared" si="195"/>
        <v>0</v>
      </c>
      <c r="AY82" s="250">
        <f t="shared" si="195"/>
        <v>8</v>
      </c>
      <c r="AZ82" s="250">
        <f t="shared" si="195"/>
        <v>31</v>
      </c>
      <c r="BA82" s="250">
        <f t="shared" si="195"/>
        <v>31</v>
      </c>
      <c r="BB82" s="250">
        <f t="shared" si="195"/>
        <v>30</v>
      </c>
      <c r="BC82" s="250">
        <f t="shared" si="195"/>
        <v>0</v>
      </c>
      <c r="BD82" s="250">
        <f t="shared" si="195"/>
        <v>0</v>
      </c>
      <c r="BE82" s="250" t="str">
        <f t="shared" si="195"/>
        <v>ー</v>
      </c>
      <c r="BF82" s="250" t="str">
        <f t="shared" si="195"/>
        <v>ー</v>
      </c>
      <c r="BG82" s="250" t="str">
        <f t="shared" si="195"/>
        <v>ー</v>
      </c>
      <c r="BH82" s="250">
        <f t="shared" si="195"/>
        <v>0</v>
      </c>
      <c r="BI82" s="212"/>
      <c r="BK82" s="205" t="s">
        <v>51</v>
      </c>
      <c r="BL82" s="251">
        <f t="shared" si="196"/>
        <v>80</v>
      </c>
      <c r="BM82" s="251">
        <f t="shared" si="196"/>
        <v>0</v>
      </c>
      <c r="BN82" s="251">
        <f t="shared" si="196"/>
        <v>0</v>
      </c>
      <c r="BO82" s="251" t="str">
        <f t="shared" si="196"/>
        <v>ー</v>
      </c>
      <c r="BP82" s="251" t="str">
        <f t="shared" si="196"/>
        <v>ー</v>
      </c>
      <c r="BQ82" s="251" t="str">
        <f t="shared" si="196"/>
        <v>ー</v>
      </c>
      <c r="BR82" s="251" t="str">
        <f t="shared" si="196"/>
        <v>ー</v>
      </c>
      <c r="BS82" s="251" t="str">
        <f t="shared" si="196"/>
        <v>ー</v>
      </c>
      <c r="BT82" s="251">
        <f t="shared" si="196"/>
        <v>0</v>
      </c>
      <c r="BU82" s="251">
        <f t="shared" si="196"/>
        <v>21</v>
      </c>
      <c r="BV82" s="251">
        <f t="shared" si="196"/>
        <v>31</v>
      </c>
      <c r="BW82" s="251">
        <f t="shared" si="196"/>
        <v>28</v>
      </c>
      <c r="BX82" s="251">
        <f t="shared" si="196"/>
        <v>0</v>
      </c>
      <c r="BY82" s="212"/>
    </row>
    <row r="83" spans="2:78">
      <c r="B83" s="205" t="s">
        <v>52</v>
      </c>
      <c r="C83" s="250" t="s">
        <v>983</v>
      </c>
      <c r="D83" s="253">
        <f>IF(空調!E64="",1,MIN(1.5,(2025-空調!E64)*0.02+1))</f>
        <v>1.32</v>
      </c>
      <c r="E83" s="254" t="str">
        <f>空調!H64</f>
        <v>13A（都市ガス）</v>
      </c>
      <c r="F83" s="147">
        <f>IF(E83=0,0,IF(E83="13A（都市ガス）",VLOOKUP("13A",空調負荷率!$C$3:$E$5,2,FALSE),IF(E83="12A（都市ガス）",VLOOKUP("12A",空調負荷率!$C$3:$E$5,2,FALSE),VLOOKUP("LP",空調負荷率!$C$3:$E$5,2,FALSE))))</f>
        <v>11000</v>
      </c>
      <c r="H83" s="205" t="s">
        <v>52</v>
      </c>
      <c r="I83" s="251">
        <f>空調!$M64</f>
        <v>80</v>
      </c>
      <c r="J83" s="252">
        <f>IF($C83="事務所",MIN(I83-SUM(K83:P83,U83),J$3),MIN(I83-SUM(K83:P83),J$3))</f>
        <v>0</v>
      </c>
      <c r="K83" s="252">
        <f>IF($C83="事務所",MIN(I83-SUM(L83:O83),K$3),MIN(I83-SUM(L83:O83),K$3))</f>
        <v>0</v>
      </c>
      <c r="L83" s="252">
        <f>IF($C83="事務所",MIN(I83-SUM(M83:O83),$L$3),MIN(I83-SUM(M83:O83),$L$3))</f>
        <v>0</v>
      </c>
      <c r="M83" s="252">
        <f>IF($C83="事務所",MIN(I83-SUM(N83),M$3),MIN(I83,M$3))</f>
        <v>31</v>
      </c>
      <c r="N83" s="252">
        <f>IF($C83="事務所",MIN(I83,N$3),MIN(I83-SUM(M83),N$3))</f>
        <v>31</v>
      </c>
      <c r="O83" s="252">
        <f>IF($C83="事務所",MIN(I83-SUM(M83:N83),O$3),MIN(I83-SUM(M83:N83),O$3))</f>
        <v>18</v>
      </c>
      <c r="P83" s="252">
        <f>IF($C83="事務所",MIN(I83-SUM(K83:O83),P$3),MIN(I83-SUM(K83:O83),$P$3))</f>
        <v>0</v>
      </c>
      <c r="Q83" s="252">
        <f>IF($C83="事務所",MIN(I83-SUM(J83:P83,U83),Q$3),MIN(I83-SUM(J83:P83),Q$3))</f>
        <v>0</v>
      </c>
      <c r="R83" s="252" t="s">
        <v>387</v>
      </c>
      <c r="S83" s="252" t="s">
        <v>382</v>
      </c>
      <c r="T83" s="252" t="s">
        <v>382</v>
      </c>
      <c r="U83" s="252">
        <f>IF($C83="事務所",MIN(I83-SUM(K83:P83),U$3),MIN(I83-SUM(J83:Q83),U$3))</f>
        <v>0</v>
      </c>
      <c r="V83" s="212"/>
      <c r="X83" s="205" t="s">
        <v>52</v>
      </c>
      <c r="Y83" s="251">
        <f>空調!$R64</f>
        <v>100</v>
      </c>
      <c r="Z83" s="252">
        <f>IF($C83="事務所",MIN(Y83-SUM(AG83:AK83),Z$3),MIN(Y83-SUM(AG83:AK83),Z$3))</f>
        <v>0</v>
      </c>
      <c r="AA83" s="252">
        <f>IF($C83="事務所",MIN(Y83-SUM(AG83:AK83,Z83),AA$3),MIN(Y83-SUM(AG83:AK83,Z83),AA$3))</f>
        <v>0</v>
      </c>
      <c r="AB83" s="252" t="s">
        <v>382</v>
      </c>
      <c r="AC83" s="252" t="s">
        <v>382</v>
      </c>
      <c r="AD83" s="252" t="s">
        <v>382</v>
      </c>
      <c r="AE83" s="252" t="s">
        <v>382</v>
      </c>
      <c r="AF83" s="252">
        <f>IF($C83="事務所","ー",MIN(Y83-SUM(AG83:AK83,Z83:AA83),AF$3))</f>
        <v>0</v>
      </c>
      <c r="AG83" s="252">
        <f>IF($C83="事務所",MIN(Y83-SUM(AH83:AK83),AG$3),MIN(Y83-SUM(AH83:AK83),AG$3))</f>
        <v>0</v>
      </c>
      <c r="AH83" s="252">
        <f>IF($C83="事務所",MIN(Y83-SUM(AI83:AJ83),AH$3),MIN(Y83-SUM(AI83:AK83),AH$3))</f>
        <v>10</v>
      </c>
      <c r="AI83" s="252">
        <f>IF($C83="事務所",MIN(Y83,AI$3),MIN(Y83,AI$3))</f>
        <v>31</v>
      </c>
      <c r="AJ83" s="252">
        <f>IF($C83="事務所",MIN(Y83-SUM(AI83),AJ$3),MIN(Y83-SUM(AI83),AJ$3))</f>
        <v>28</v>
      </c>
      <c r="AK83" s="252">
        <f>IF($C83="事務所",MIN(Y83-SUM(AH83:AJ83),AK$3),MIN(Y83-SUM(AI83:AJ83),AK$3))</f>
        <v>31</v>
      </c>
      <c r="AL83" s="212"/>
      <c r="AN83" s="205" t="s">
        <v>52</v>
      </c>
      <c r="AO83" s="250" t="str">
        <f>C83</f>
        <v>店舗・工場等</v>
      </c>
      <c r="AP83" s="257">
        <f>空調!F64</f>
        <v>1.84</v>
      </c>
      <c r="AQ83" s="257">
        <f>空調!Y64</f>
        <v>2.09</v>
      </c>
      <c r="AR83" s="254" t="str">
        <f>空調!AA64</f>
        <v>13A（都市ガス）</v>
      </c>
      <c r="AS83" s="147">
        <f>IF(AR83=0,0,IF(AR83="13A（都市ガス）",VLOOKUP("13A",空調負荷率!$AO$3:$AQ$5,2,FALSE),IF(AR83="12A（都市ガス）",VLOOKUP("12A",空調負荷率!$AO$3:$AQ$5,2,FALSE),VLOOKUP("LP",空調負荷率!$C$3:$E$5,2,FALSE))))</f>
        <v>11000</v>
      </c>
      <c r="AU83" s="205" t="s">
        <v>52</v>
      </c>
      <c r="AV83" s="250">
        <f t="shared" si="195"/>
        <v>80</v>
      </c>
      <c r="AW83" s="250">
        <f t="shared" si="195"/>
        <v>0</v>
      </c>
      <c r="AX83" s="250">
        <f t="shared" si="195"/>
        <v>0</v>
      </c>
      <c r="AY83" s="250">
        <f t="shared" si="195"/>
        <v>0</v>
      </c>
      <c r="AZ83" s="250">
        <f t="shared" si="195"/>
        <v>31</v>
      </c>
      <c r="BA83" s="250">
        <f t="shared" si="195"/>
        <v>31</v>
      </c>
      <c r="BB83" s="250">
        <f t="shared" si="195"/>
        <v>18</v>
      </c>
      <c r="BC83" s="250">
        <f t="shared" si="195"/>
        <v>0</v>
      </c>
      <c r="BD83" s="250">
        <f t="shared" si="195"/>
        <v>0</v>
      </c>
      <c r="BE83" s="250" t="str">
        <f t="shared" si="195"/>
        <v>ー</v>
      </c>
      <c r="BF83" s="250" t="str">
        <f t="shared" si="195"/>
        <v>ー</v>
      </c>
      <c r="BG83" s="250" t="str">
        <f t="shared" si="195"/>
        <v>ー</v>
      </c>
      <c r="BH83" s="250">
        <f t="shared" si="195"/>
        <v>0</v>
      </c>
      <c r="BI83" s="212"/>
      <c r="BK83" s="205" t="s">
        <v>52</v>
      </c>
      <c r="BL83" s="251">
        <f t="shared" si="196"/>
        <v>100</v>
      </c>
      <c r="BM83" s="251">
        <f t="shared" si="196"/>
        <v>0</v>
      </c>
      <c r="BN83" s="251">
        <f t="shared" si="196"/>
        <v>0</v>
      </c>
      <c r="BO83" s="251" t="str">
        <f t="shared" si="196"/>
        <v>ー</v>
      </c>
      <c r="BP83" s="251" t="str">
        <f t="shared" si="196"/>
        <v>ー</v>
      </c>
      <c r="BQ83" s="251" t="str">
        <f t="shared" si="196"/>
        <v>ー</v>
      </c>
      <c r="BR83" s="251" t="str">
        <f t="shared" si="196"/>
        <v>ー</v>
      </c>
      <c r="BS83" s="251">
        <f t="shared" si="196"/>
        <v>0</v>
      </c>
      <c r="BT83" s="251">
        <f t="shared" si="196"/>
        <v>0</v>
      </c>
      <c r="BU83" s="251">
        <f t="shared" si="196"/>
        <v>10</v>
      </c>
      <c r="BV83" s="251">
        <f t="shared" si="196"/>
        <v>31</v>
      </c>
      <c r="BW83" s="251">
        <f t="shared" si="196"/>
        <v>28</v>
      </c>
      <c r="BX83" s="251">
        <f t="shared" si="196"/>
        <v>31</v>
      </c>
      <c r="BY83" s="212"/>
    </row>
    <row r="84" spans="2:78">
      <c r="B84" s="205" t="s">
        <v>53</v>
      </c>
      <c r="C84" s="250" t="s">
        <v>983</v>
      </c>
      <c r="D84" s="253">
        <f>IF(空調!E65="",1,MIN(1.5,(2025-空調!E65)*0.02+1))</f>
        <v>1.34</v>
      </c>
      <c r="E84" s="254" t="str">
        <f>空調!H65</f>
        <v>LPG</v>
      </c>
      <c r="F84" s="147">
        <f>IF(E84=0,0,IF(E84="13A（都市ガス）",VLOOKUP("13A",空調負荷率!$C$3:$E$5,2,FALSE),IF(E84="12A（都市ガス）",VLOOKUP("12A",空調負荷率!$C$3:$E$5,2,FALSE),VLOOKUP("LP",空調負荷率!$C$3:$E$5,2,FALSE))))</f>
        <v>24000</v>
      </c>
      <c r="H84" s="205" t="s">
        <v>53</v>
      </c>
      <c r="I84" s="251">
        <f>空調!$M65</f>
        <v>110</v>
      </c>
      <c r="J84" s="252">
        <f>IF($C84="事務所",MIN(I84-SUM(K84:P84,U84),J$3),MIN(I84-SUM(K84:P84),J$3))</f>
        <v>0</v>
      </c>
      <c r="K84" s="252">
        <f>IF($C84="事務所",MIN(I84-SUM(L84:O84),K$3),MIN(I84-SUM(L84:O84),K$3))</f>
        <v>0</v>
      </c>
      <c r="L84" s="252">
        <f>IF($C84="事務所",MIN(I84-SUM(M84:O84),$L$3),MIN(I84-SUM(M84:O84),$L$3))</f>
        <v>18</v>
      </c>
      <c r="M84" s="252">
        <f>IF($C84="事務所",MIN(I84-SUM(N84),M$3),MIN(I84,M$3))</f>
        <v>31</v>
      </c>
      <c r="N84" s="252">
        <f>IF($C84="事務所",MIN(I84,N$3),MIN(I84-SUM(M84),N$3))</f>
        <v>31</v>
      </c>
      <c r="O84" s="252">
        <f>IF($C84="事務所",MIN(I84-SUM(M84:N84),O$3),MIN(I84-SUM(M84:N84),O$3))</f>
        <v>30</v>
      </c>
      <c r="P84" s="252">
        <f>IF($C84="事務所",MIN(I84-SUM(K84:O84),P$3),MIN(I84-SUM(K84:O84),$P$3))</f>
        <v>0</v>
      </c>
      <c r="Q84" s="252">
        <f>IF($C84="事務所",MIN(I84-SUM(J84:P84,U84),Q$3),MIN(I84-SUM(J84:P84),Q$3))</f>
        <v>0</v>
      </c>
      <c r="R84" s="252" t="s">
        <v>387</v>
      </c>
      <c r="S84" s="252" t="s">
        <v>382</v>
      </c>
      <c r="T84" s="252" t="s">
        <v>382</v>
      </c>
      <c r="U84" s="252">
        <f>IF($C84="事務所",MIN(I84-SUM(K84:P84),U$3),MIN(I84-SUM(J84:Q84),U$3))</f>
        <v>0</v>
      </c>
      <c r="V84" s="212"/>
      <c r="X84" s="205" t="s">
        <v>53</v>
      </c>
      <c r="Y84" s="251">
        <f>空調!$R65</f>
        <v>90</v>
      </c>
      <c r="Z84" s="252">
        <f>IF($C84="事務所",MIN(Y84-SUM(AG84:AK84),Z$3),MIN(Y84-SUM(AG84:AK84),Z$3))</f>
        <v>0</v>
      </c>
      <c r="AA84" s="252">
        <f>IF($C84="事務所",MIN(Y84-SUM(AG84:AK84,Z84),AA$3),MIN(Y84-SUM(AG84:AK84,Z84),AA$3))</f>
        <v>0</v>
      </c>
      <c r="AB84" s="252" t="s">
        <v>382</v>
      </c>
      <c r="AC84" s="252" t="s">
        <v>382</v>
      </c>
      <c r="AD84" s="252" t="s">
        <v>382</v>
      </c>
      <c r="AE84" s="252" t="s">
        <v>382</v>
      </c>
      <c r="AF84" s="252">
        <f>IF($C84="事務所","ー",MIN(Y84-SUM(AG84:AK84,Z84:AA84),AF$3))</f>
        <v>0</v>
      </c>
      <c r="AG84" s="252">
        <f>IF($C84="事務所",MIN(Y84-SUM(AH84:AK84),AG$3),MIN(Y84-SUM(AH84:AK84),AG$3))</f>
        <v>0</v>
      </c>
      <c r="AH84" s="252">
        <f>IF($C84="事務所",MIN(Y84-SUM(AI84:AJ84),AH$3),MIN(Y84-SUM(AI84:AK84),AH$3))</f>
        <v>0</v>
      </c>
      <c r="AI84" s="252">
        <f>IF($C84="事務所",MIN(Y84,AI$3),MIN(Y84,AI$3))</f>
        <v>31</v>
      </c>
      <c r="AJ84" s="252">
        <f>IF($C84="事務所",MIN(Y84-SUM(AI84),AJ$3),MIN(Y84-SUM(AI84),AJ$3))</f>
        <v>28</v>
      </c>
      <c r="AK84" s="252">
        <f>IF($C84="事務所",MIN(Y84-SUM(AH84:AJ84),AK$3),MIN(Y84-SUM(AI84:AJ84),AK$3))</f>
        <v>31</v>
      </c>
      <c r="AL84" s="212"/>
      <c r="AN84" s="205" t="s">
        <v>53</v>
      </c>
      <c r="AO84" s="250" t="str">
        <f>C84</f>
        <v>店舗・工場等</v>
      </c>
      <c r="AP84" s="257">
        <f>空調!F65</f>
        <v>0</v>
      </c>
      <c r="AQ84" s="257">
        <f>空調!Y65</f>
        <v>0</v>
      </c>
      <c r="AR84" s="254">
        <f>空調!AA65</f>
        <v>0</v>
      </c>
      <c r="AS84" s="147">
        <f>IF(AR84=0,0,IF(AR84="13A（都市ガス）",VLOOKUP("13A",空調負荷率!$AO$3:$AQ$5,2,FALSE),IF(AR84="12A（都市ガス）",VLOOKUP("12A",空調負荷率!$AO$3:$AQ$5,2,FALSE),VLOOKUP("LP",空調負荷率!$C$3:$E$5,2,FALSE))))</f>
        <v>0</v>
      </c>
      <c r="AU84" s="205" t="s">
        <v>53</v>
      </c>
      <c r="AV84" s="250">
        <f t="shared" si="195"/>
        <v>110</v>
      </c>
      <c r="AW84" s="250">
        <f t="shared" si="195"/>
        <v>0</v>
      </c>
      <c r="AX84" s="250">
        <f t="shared" si="195"/>
        <v>0</v>
      </c>
      <c r="AY84" s="250">
        <f t="shared" si="195"/>
        <v>18</v>
      </c>
      <c r="AZ84" s="250">
        <f t="shared" si="195"/>
        <v>31</v>
      </c>
      <c r="BA84" s="250">
        <f t="shared" si="195"/>
        <v>31</v>
      </c>
      <c r="BB84" s="250">
        <f t="shared" si="195"/>
        <v>30</v>
      </c>
      <c r="BC84" s="250">
        <f t="shared" si="195"/>
        <v>0</v>
      </c>
      <c r="BD84" s="250">
        <f t="shared" si="195"/>
        <v>0</v>
      </c>
      <c r="BE84" s="250" t="str">
        <f t="shared" si="195"/>
        <v>ー</v>
      </c>
      <c r="BF84" s="250" t="str">
        <f t="shared" si="195"/>
        <v>ー</v>
      </c>
      <c r="BG84" s="250" t="str">
        <f t="shared" si="195"/>
        <v>ー</v>
      </c>
      <c r="BH84" s="250">
        <f t="shared" si="195"/>
        <v>0</v>
      </c>
      <c r="BI84" s="212"/>
      <c r="BK84" s="205" t="s">
        <v>53</v>
      </c>
      <c r="BL84" s="251">
        <f t="shared" si="196"/>
        <v>90</v>
      </c>
      <c r="BM84" s="251">
        <f t="shared" si="196"/>
        <v>0</v>
      </c>
      <c r="BN84" s="251">
        <f t="shared" si="196"/>
        <v>0</v>
      </c>
      <c r="BO84" s="251" t="str">
        <f t="shared" si="196"/>
        <v>ー</v>
      </c>
      <c r="BP84" s="251" t="str">
        <f t="shared" si="196"/>
        <v>ー</v>
      </c>
      <c r="BQ84" s="251" t="str">
        <f t="shared" si="196"/>
        <v>ー</v>
      </c>
      <c r="BR84" s="251" t="str">
        <f t="shared" si="196"/>
        <v>ー</v>
      </c>
      <c r="BS84" s="251">
        <f t="shared" si="196"/>
        <v>0</v>
      </c>
      <c r="BT84" s="251">
        <f t="shared" si="196"/>
        <v>0</v>
      </c>
      <c r="BU84" s="251">
        <f t="shared" si="196"/>
        <v>0</v>
      </c>
      <c r="BV84" s="251">
        <f t="shared" si="196"/>
        <v>31</v>
      </c>
      <c r="BW84" s="251">
        <f t="shared" si="196"/>
        <v>28</v>
      </c>
      <c r="BX84" s="251">
        <f t="shared" si="196"/>
        <v>31</v>
      </c>
      <c r="BY84" s="212"/>
    </row>
    <row r="85" spans="2:78">
      <c r="B85" s="208" t="s">
        <v>986</v>
      </c>
      <c r="H85" s="208" t="s">
        <v>912</v>
      </c>
      <c r="J85" t="s">
        <v>1064</v>
      </c>
      <c r="X85" s="208" t="s">
        <v>912</v>
      </c>
      <c r="Z85" t="s">
        <v>1066</v>
      </c>
      <c r="AN85" s="208" t="s">
        <v>933</v>
      </c>
      <c r="AS85" s="180"/>
      <c r="AU85" s="208" t="s">
        <v>912</v>
      </c>
      <c r="AW85" t="s">
        <v>1066</v>
      </c>
      <c r="BK85" s="208" t="s">
        <v>912</v>
      </c>
      <c r="BM85" t="s">
        <v>1066</v>
      </c>
    </row>
    <row r="86" spans="2:78">
      <c r="B86" s="227"/>
      <c r="C86" s="206" t="s">
        <v>936</v>
      </c>
      <c r="D86" s="206" t="s">
        <v>390</v>
      </c>
      <c r="E86" s="206" t="s">
        <v>934</v>
      </c>
      <c r="F86" s="206" t="s">
        <v>935</v>
      </c>
      <c r="H86" s="215" t="s">
        <v>916</v>
      </c>
      <c r="I86" s="206" t="s">
        <v>1065</v>
      </c>
      <c r="J86" s="243" t="s">
        <v>894</v>
      </c>
      <c r="K86" s="243" t="s">
        <v>895</v>
      </c>
      <c r="L86" s="243" t="s">
        <v>896</v>
      </c>
      <c r="M86" s="243" t="s">
        <v>897</v>
      </c>
      <c r="N86" s="243" t="s">
        <v>898</v>
      </c>
      <c r="O86" s="243" t="s">
        <v>899</v>
      </c>
      <c r="P86" s="243" t="s">
        <v>900</v>
      </c>
      <c r="Q86" s="243" t="s">
        <v>901</v>
      </c>
      <c r="R86" s="243" t="s">
        <v>902</v>
      </c>
      <c r="S86" s="243" t="s">
        <v>903</v>
      </c>
      <c r="T86" s="243" t="s">
        <v>904</v>
      </c>
      <c r="U86" s="243" t="s">
        <v>905</v>
      </c>
      <c r="V86" s="243" t="s">
        <v>16</v>
      </c>
      <c r="X86" s="216" t="s">
        <v>917</v>
      </c>
      <c r="Y86" s="206" t="s">
        <v>1065</v>
      </c>
      <c r="Z86" s="243" t="s">
        <v>894</v>
      </c>
      <c r="AA86" s="243" t="s">
        <v>895</v>
      </c>
      <c r="AB86" s="243" t="s">
        <v>896</v>
      </c>
      <c r="AC86" s="243" t="s">
        <v>897</v>
      </c>
      <c r="AD86" s="243" t="s">
        <v>898</v>
      </c>
      <c r="AE86" s="243" t="s">
        <v>899</v>
      </c>
      <c r="AF86" s="243" t="s">
        <v>900</v>
      </c>
      <c r="AG86" s="243" t="s">
        <v>901</v>
      </c>
      <c r="AH86" s="243" t="s">
        <v>902</v>
      </c>
      <c r="AI86" s="243" t="s">
        <v>903</v>
      </c>
      <c r="AJ86" s="243" t="s">
        <v>904</v>
      </c>
      <c r="AK86" s="243" t="s">
        <v>905</v>
      </c>
      <c r="AL86" s="243" t="s">
        <v>16</v>
      </c>
      <c r="AN86" s="227"/>
      <c r="AO86" s="206" t="s">
        <v>936</v>
      </c>
      <c r="AP86" s="206" t="s">
        <v>390</v>
      </c>
      <c r="AQ86" s="206" t="s">
        <v>934</v>
      </c>
      <c r="AR86" s="206" t="s">
        <v>935</v>
      </c>
      <c r="AS86" s="221"/>
      <c r="AU86" s="215" t="s">
        <v>925</v>
      </c>
      <c r="AV86" s="206" t="s">
        <v>1065</v>
      </c>
      <c r="AW86" s="243" t="s">
        <v>894</v>
      </c>
      <c r="AX86" s="243" t="s">
        <v>895</v>
      </c>
      <c r="AY86" s="243" t="s">
        <v>896</v>
      </c>
      <c r="AZ86" s="243" t="s">
        <v>897</v>
      </c>
      <c r="BA86" s="243" t="s">
        <v>898</v>
      </c>
      <c r="BB86" s="243" t="s">
        <v>899</v>
      </c>
      <c r="BC86" s="243" t="s">
        <v>900</v>
      </c>
      <c r="BD86" s="243" t="s">
        <v>901</v>
      </c>
      <c r="BE86" s="243" t="s">
        <v>902</v>
      </c>
      <c r="BF86" s="243" t="s">
        <v>903</v>
      </c>
      <c r="BG86" s="243" t="s">
        <v>904</v>
      </c>
      <c r="BH86" s="243" t="s">
        <v>905</v>
      </c>
      <c r="BI86" s="243" t="s">
        <v>16</v>
      </c>
      <c r="BK86" s="216" t="s">
        <v>926</v>
      </c>
      <c r="BL86" s="206" t="s">
        <v>1065</v>
      </c>
      <c r="BM86" s="243" t="s">
        <v>894</v>
      </c>
      <c r="BN86" s="243" t="s">
        <v>895</v>
      </c>
      <c r="BO86" s="243" t="s">
        <v>896</v>
      </c>
      <c r="BP86" s="243" t="s">
        <v>897</v>
      </c>
      <c r="BQ86" s="243" t="s">
        <v>898</v>
      </c>
      <c r="BR86" s="243" t="s">
        <v>899</v>
      </c>
      <c r="BS86" s="243" t="s">
        <v>900</v>
      </c>
      <c r="BT86" s="243" t="s">
        <v>901</v>
      </c>
      <c r="BU86" s="243" t="s">
        <v>902</v>
      </c>
      <c r="BV86" s="243" t="s">
        <v>903</v>
      </c>
      <c r="BW86" s="243" t="s">
        <v>904</v>
      </c>
      <c r="BX86" s="243" t="s">
        <v>905</v>
      </c>
      <c r="BY86" s="243" t="s">
        <v>16</v>
      </c>
    </row>
    <row r="87" spans="2:78">
      <c r="B87" s="205" t="s">
        <v>49</v>
      </c>
      <c r="C87" s="251">
        <f>VLOOKUP("電気",係数!$B$3:$C$30,2,FALSE)</f>
        <v>8.64</v>
      </c>
      <c r="D87" s="275">
        <f>VLOOKUP("電気",係数!$B$3:$H$30,7,FALSE)</f>
        <v>4.3100000000000001E-4</v>
      </c>
      <c r="E87" s="270">
        <f>(V87+AL87)*D87</f>
        <v>9.3654575999999992</v>
      </c>
      <c r="F87" s="270">
        <f>(V87+AL87)*C87*0.0000258</f>
        <v>4.8437885952000004</v>
      </c>
      <c r="H87" s="205" t="s">
        <v>49</v>
      </c>
      <c r="I87" s="251">
        <f>空調!D61*空調!J61*空調!L61</f>
        <v>191.6</v>
      </c>
      <c r="J87" s="252">
        <f>IFERROR(IF($C80="事務所",$I87*$D80*J80*J$4,$I87*$D80*J80*J$5),"ー")</f>
        <v>0</v>
      </c>
      <c r="K87" s="252">
        <f t="shared" ref="K87:U87" si="197">IFERROR(IF($C80="事務所",$I87*$D80*K80*K$4,$I87*$D80*K80*K$5),"ー")</f>
        <v>0</v>
      </c>
      <c r="L87" s="252">
        <f t="shared" si="197"/>
        <v>919.68</v>
      </c>
      <c r="M87" s="252">
        <f t="shared" si="197"/>
        <v>3563.76</v>
      </c>
      <c r="N87" s="252">
        <f t="shared" si="197"/>
        <v>3563.76</v>
      </c>
      <c r="O87" s="252">
        <f t="shared" si="197"/>
        <v>3448.8</v>
      </c>
      <c r="P87" s="252">
        <f t="shared" si="197"/>
        <v>0</v>
      </c>
      <c r="Q87" s="252">
        <f t="shared" si="197"/>
        <v>0</v>
      </c>
      <c r="R87" s="252" t="str">
        <f t="shared" si="197"/>
        <v>ー</v>
      </c>
      <c r="S87" s="252" t="str">
        <f t="shared" si="197"/>
        <v>ー</v>
      </c>
      <c r="T87" s="252" t="str">
        <f t="shared" si="197"/>
        <v>ー</v>
      </c>
      <c r="U87" s="252">
        <f t="shared" si="197"/>
        <v>0</v>
      </c>
      <c r="V87" s="252">
        <f>SUM(J87:U87)</f>
        <v>11496</v>
      </c>
      <c r="X87" s="205" t="s">
        <v>49</v>
      </c>
      <c r="Y87" s="251">
        <f>空調!D61*空調!O61*空調!Q61</f>
        <v>213.2</v>
      </c>
      <c r="Z87" s="252">
        <f>IFERROR(IF($C80="事務所",$Y87*$D80*Z80*Z$4,$Y87*$D80*Z80*Z$5),"ー")</f>
        <v>0</v>
      </c>
      <c r="AA87" s="252">
        <f t="shared" ref="AA87:AK87" si="198">IFERROR(IF($C80="事務所",$Y87*$D80*AA80*AA$4,$Y87*$D80*AA80*AA$5),"ー")</f>
        <v>0</v>
      </c>
      <c r="AB87" s="252" t="str">
        <f t="shared" si="198"/>
        <v>ー</v>
      </c>
      <c r="AC87" s="252" t="str">
        <f t="shared" si="198"/>
        <v>ー</v>
      </c>
      <c r="AD87" s="252" t="str">
        <f t="shared" si="198"/>
        <v>ー</v>
      </c>
      <c r="AE87" s="252" t="str">
        <f t="shared" si="198"/>
        <v>ー</v>
      </c>
      <c r="AF87" s="252" t="str">
        <f t="shared" si="198"/>
        <v>ー</v>
      </c>
      <c r="AG87" s="252">
        <f t="shared" si="198"/>
        <v>0</v>
      </c>
      <c r="AH87" s="252">
        <f t="shared" si="198"/>
        <v>2686.3199999999997</v>
      </c>
      <c r="AI87" s="252">
        <f t="shared" si="198"/>
        <v>3965.52</v>
      </c>
      <c r="AJ87" s="252">
        <f t="shared" si="198"/>
        <v>3581.7599999999993</v>
      </c>
      <c r="AK87" s="252">
        <f t="shared" si="198"/>
        <v>0</v>
      </c>
      <c r="AL87" s="252">
        <f>SUM(Z87:AK87)</f>
        <v>10233.599999999999</v>
      </c>
      <c r="AN87" s="205" t="s">
        <v>49</v>
      </c>
      <c r="AO87" s="251">
        <f>VLOOKUP("電気",係数!$B$3:$C$30,2,FALSE)</f>
        <v>8.64</v>
      </c>
      <c r="AP87" s="256">
        <f>VLOOKUP("電気",係数!$B$3:$H$30,7,FALSE)</f>
        <v>4.3100000000000001E-4</v>
      </c>
      <c r="AQ87" s="270">
        <f>(BI87+BY87)*AP87</f>
        <v>5.7816064000000011</v>
      </c>
      <c r="AR87" s="270">
        <f>(BI87+BY87)*AO87*0.0000258</f>
        <v>2.9902307328000006</v>
      </c>
      <c r="AS87" s="277"/>
      <c r="AU87" s="205" t="s">
        <v>49</v>
      </c>
      <c r="AV87" s="251">
        <f>空調!X61*空調!AC61*空調!L61</f>
        <v>179.20000000000002</v>
      </c>
      <c r="AW87" s="252">
        <f>IF(AND($AP80&lt;&gt;0,$AQ80&lt;&gt;0),IFERROR(J87*($AP80/$AQ80),"ー"),IFERROR(IF($F21="事務所",$AV87*AW80*AW$4,$AV87*AW80*AW$5),"ー"))</f>
        <v>0</v>
      </c>
      <c r="AX87" s="252">
        <f t="shared" ref="AX87:BH87" si="199">IF(AND($AP80&lt;&gt;0,$AQ80&lt;&gt;0),IFERROR(K87*($AP80/$AQ80),"ー"),IFERROR(IF($F21="事務所",$AV87*AX80*AX$4,$AV87*AX80*AX$5),"ー"))</f>
        <v>0</v>
      </c>
      <c r="AY87" s="252">
        <f t="shared" si="199"/>
        <v>573.44000000000005</v>
      </c>
      <c r="AZ87" s="252">
        <f t="shared" si="199"/>
        <v>2222.0800000000004</v>
      </c>
      <c r="BA87" s="252">
        <f t="shared" si="199"/>
        <v>2222.0800000000004</v>
      </c>
      <c r="BB87" s="252">
        <f t="shared" si="199"/>
        <v>2150.4000000000005</v>
      </c>
      <c r="BC87" s="252">
        <f t="shared" si="199"/>
        <v>0</v>
      </c>
      <c r="BD87" s="252">
        <f t="shared" si="199"/>
        <v>0</v>
      </c>
      <c r="BE87" s="252" t="str">
        <f t="shared" si="199"/>
        <v>ー</v>
      </c>
      <c r="BF87" s="252" t="str">
        <f t="shared" si="199"/>
        <v>ー</v>
      </c>
      <c r="BG87" s="252" t="str">
        <f t="shared" si="199"/>
        <v>ー</v>
      </c>
      <c r="BH87" s="252">
        <f t="shared" si="199"/>
        <v>0</v>
      </c>
      <c r="BI87" s="252">
        <f>SUM(AW87:BH87)</f>
        <v>7168.0000000000009</v>
      </c>
      <c r="BK87" s="205" t="s">
        <v>49</v>
      </c>
      <c r="BL87" s="251">
        <f>空調!X61*空調!AF61*空調!Q61</f>
        <v>195.2</v>
      </c>
      <c r="BM87" s="252">
        <f>IF(AND($AP80&lt;&gt;0,$AQ80&lt;&gt;0),IFERROR(Z87*($AP80/$AQ80),"ー"),IFERROR(IF($C80="事務所",$BL87*BM80*BM$4,$BL87*BM80*BM$5),"ー"))</f>
        <v>0</v>
      </c>
      <c r="BN87" s="252">
        <f t="shared" ref="BN87:BX87" si="200">IF(AND($AP80&lt;&gt;0,$AQ80&lt;&gt;0),IFERROR(AA87*($AP80/$AQ80),"ー"),IFERROR(IF($C80="事務所",$BL87*BN80*BN$4,$BL87*BN80*BN$5),"ー"))</f>
        <v>0</v>
      </c>
      <c r="BO87" s="252" t="str">
        <f t="shared" si="200"/>
        <v>ー</v>
      </c>
      <c r="BP87" s="252" t="str">
        <f t="shared" si="200"/>
        <v>ー</v>
      </c>
      <c r="BQ87" s="252" t="str">
        <f t="shared" si="200"/>
        <v>ー</v>
      </c>
      <c r="BR87" s="252" t="str">
        <f t="shared" si="200"/>
        <v>ー</v>
      </c>
      <c r="BS87" s="252" t="str">
        <f t="shared" si="200"/>
        <v>ー</v>
      </c>
      <c r="BT87" s="252">
        <f t="shared" si="200"/>
        <v>0</v>
      </c>
      <c r="BU87" s="252">
        <f t="shared" si="200"/>
        <v>1639.68</v>
      </c>
      <c r="BV87" s="252">
        <f t="shared" si="200"/>
        <v>2420.48</v>
      </c>
      <c r="BW87" s="252">
        <f t="shared" si="200"/>
        <v>2186.2399999999998</v>
      </c>
      <c r="BX87" s="252">
        <f t="shared" si="200"/>
        <v>0</v>
      </c>
      <c r="BY87" s="252">
        <f>SUM(BM87:BX87)</f>
        <v>6246.4</v>
      </c>
    </row>
    <row r="88" spans="2:78">
      <c r="B88" s="205" t="s">
        <v>50</v>
      </c>
      <c r="C88" s="251">
        <f>VLOOKUP("電気",係数!$B$3:$C$30,2,FALSE)</f>
        <v>8.64</v>
      </c>
      <c r="D88" s="275">
        <f>VLOOKUP("電気",係数!$B$3:$H$30,7,FALSE)</f>
        <v>4.3100000000000001E-4</v>
      </c>
      <c r="E88" s="270">
        <f>(V88+AL88)*D88</f>
        <v>0.42918497280000001</v>
      </c>
      <c r="F88" s="270">
        <f>(V88+AL88)*C88*0.0000258</f>
        <v>0.22197327298560002</v>
      </c>
      <c r="H88" s="205" t="s">
        <v>50</v>
      </c>
      <c r="I88" s="251">
        <f>空調!D62*空調!J62*空調!L62</f>
        <v>8.9600000000000009</v>
      </c>
      <c r="J88" s="252">
        <f t="shared" ref="J88:U88" si="201">IFERROR(IF($C81="事務所",$I88*$D81*J81*J$4,$I88*$D81*J81*J$5),"ー")</f>
        <v>0</v>
      </c>
      <c r="K88" s="252">
        <f t="shared" si="201"/>
        <v>0</v>
      </c>
      <c r="L88" s="252">
        <f t="shared" si="201"/>
        <v>0</v>
      </c>
      <c r="M88" s="252">
        <f t="shared" si="201"/>
        <v>159.98976000000002</v>
      </c>
      <c r="N88" s="252">
        <f t="shared" si="201"/>
        <v>159.98976000000002</v>
      </c>
      <c r="O88" s="252">
        <f t="shared" si="201"/>
        <v>92.897280000000009</v>
      </c>
      <c r="P88" s="252">
        <f t="shared" si="201"/>
        <v>0</v>
      </c>
      <c r="Q88" s="252">
        <f t="shared" si="201"/>
        <v>0</v>
      </c>
      <c r="R88" s="252" t="str">
        <f t="shared" si="201"/>
        <v>ー</v>
      </c>
      <c r="S88" s="252" t="str">
        <f t="shared" si="201"/>
        <v>ー</v>
      </c>
      <c r="T88" s="252" t="str">
        <f t="shared" si="201"/>
        <v>ー</v>
      </c>
      <c r="U88" s="252">
        <f t="shared" si="201"/>
        <v>0</v>
      </c>
      <c r="V88" s="252">
        <f t="shared" ref="V88:V91" si="202">SUM(J88:U88)</f>
        <v>412.87680000000006</v>
      </c>
      <c r="X88" s="205" t="s">
        <v>50</v>
      </c>
      <c r="Y88" s="251">
        <f>空調!D62*空調!O62*空調!Q62</f>
        <v>9.1999999999999993</v>
      </c>
      <c r="Z88" s="252">
        <f>IFERROR(IF($C81="事務所",$Y88*$D81*Z81*Z$4,$Y88*$D81*Z81*Z$5),"ー")</f>
        <v>0</v>
      </c>
      <c r="AA88" s="252">
        <f t="shared" ref="AA88:AK88" si="203">IFERROR(IF($C81="事務所",$Y88*$D81*AA81*AA$4,$Y88*$D81*AA81*AA$5),"ー")</f>
        <v>0</v>
      </c>
      <c r="AB88" s="252" t="str">
        <f t="shared" si="203"/>
        <v>ー</v>
      </c>
      <c r="AC88" s="252" t="str">
        <f t="shared" si="203"/>
        <v>ー</v>
      </c>
      <c r="AD88" s="252" t="str">
        <f t="shared" si="203"/>
        <v>ー</v>
      </c>
      <c r="AE88" s="252" t="str">
        <f t="shared" si="203"/>
        <v>ー</v>
      </c>
      <c r="AF88" s="252">
        <f t="shared" si="203"/>
        <v>0</v>
      </c>
      <c r="AG88" s="252">
        <f t="shared" si="203"/>
        <v>0</v>
      </c>
      <c r="AH88" s="252">
        <f t="shared" si="203"/>
        <v>105.98399999999999</v>
      </c>
      <c r="AI88" s="252">
        <f t="shared" si="203"/>
        <v>164.27520000000001</v>
      </c>
      <c r="AJ88" s="252">
        <f t="shared" si="203"/>
        <v>148.3776</v>
      </c>
      <c r="AK88" s="252">
        <f t="shared" si="203"/>
        <v>164.27520000000001</v>
      </c>
      <c r="AL88" s="252">
        <f t="shared" ref="AL88:AL91" si="204">SUM(Z88:AK88)</f>
        <v>582.91200000000003</v>
      </c>
      <c r="AN88" s="205" t="s">
        <v>50</v>
      </c>
      <c r="AO88" s="251">
        <f>VLOOKUP("電気",係数!$B$3:$C$30,2,FALSE)</f>
        <v>8.64</v>
      </c>
      <c r="AP88" s="256">
        <f>VLOOKUP("電気",係数!$B$3:$H$30,7,FALSE)</f>
        <v>4.3100000000000001E-4</v>
      </c>
      <c r="AQ88" s="270">
        <f>(BI88+BY88)*AP88</f>
        <v>0.142912704</v>
      </c>
      <c r="AR88" s="270">
        <f>(BI88+BY88)*AO88*0.0000258</f>
        <v>7.3914052608000005E-2</v>
      </c>
      <c r="AS88" s="277"/>
      <c r="AU88" s="205" t="s">
        <v>50</v>
      </c>
      <c r="AV88" s="251">
        <f>空調!X62*空調!AC62*空調!L62</f>
        <v>5.1920000000000002</v>
      </c>
      <c r="AW88" s="252">
        <f t="shared" ref="AW88:AW91" si="205">IF(AND($AP81&lt;&gt;0,$AQ81&lt;&gt;0),IFERROR(J88*($AP81/$AQ81),"ー"),IFERROR(IF($F22="事務所",$AV88*AW81*AW$4,$AV88*AW81*AW$5),"ー"))</f>
        <v>0</v>
      </c>
      <c r="AX88" s="252">
        <f t="shared" ref="AX88:AX91" si="206">IF(AND($AP81&lt;&gt;0,$AQ81&lt;&gt;0),IFERROR(K88*($AP81/$AQ81),"ー"),IFERROR(IF($F22="事務所",$AV88*AX81*AX$4,$AV88*AX81*AX$5),"ー"))</f>
        <v>0</v>
      </c>
      <c r="AY88" s="252">
        <f t="shared" ref="AY88:AY91" si="207">IF(AND($AP81&lt;&gt;0,$AQ81&lt;&gt;0),IFERROR(L88*($AP81/$AQ81),"ー"),IFERROR(IF($F22="事務所",$AV88*AY81*AY$4,$AV88*AY81*AY$5),"ー"))</f>
        <v>0</v>
      </c>
      <c r="AZ88" s="252">
        <f t="shared" ref="AZ88:AZ91" si="208">IF(AND($AP81&lt;&gt;0,$AQ81&lt;&gt;0),IFERROR(M88*($AP81/$AQ81),"ー"),IFERROR(IF($F22="事務所",$AV88*AZ81*AZ$4,$AV88*AZ81*AZ$5),"ー"))</f>
        <v>64.380800000000008</v>
      </c>
      <c r="BA88" s="252">
        <f t="shared" ref="BA88:BA91" si="209">IF(AND($AP81&lt;&gt;0,$AQ81&lt;&gt;0),IFERROR(N88*($AP81/$AQ81),"ー"),IFERROR(IF($F22="事務所",$AV88*BA81*BA$4,$AV88*BA81*BA$5),"ー"))</f>
        <v>64.380800000000008</v>
      </c>
      <c r="BB88" s="252">
        <f t="shared" ref="BB88:BB91" si="210">IF(AND($AP81&lt;&gt;0,$AQ81&lt;&gt;0),IFERROR(O88*($AP81/$AQ81),"ー"),IFERROR(IF($F22="事務所",$AV88*BB81*BB$4,$AV88*BB81*BB$5),"ー"))</f>
        <v>37.382400000000004</v>
      </c>
      <c r="BC88" s="252">
        <f t="shared" ref="BC88:BC91" si="211">IF(AND($AP81&lt;&gt;0,$AQ81&lt;&gt;0),IFERROR(P88*($AP81/$AQ81),"ー"),IFERROR(IF($F22="事務所",$AV88*BC81*BC$4,$AV88*BC81*BC$5),"ー"))</f>
        <v>0</v>
      </c>
      <c r="BD88" s="252">
        <f t="shared" ref="BD88:BD91" si="212">IF(AND($AP81&lt;&gt;0,$AQ81&lt;&gt;0),IFERROR(Q88*($AP81/$AQ81),"ー"),IFERROR(IF($F22="事務所",$AV88*BD81*BD$4,$AV88*BD81*BD$5),"ー"))</f>
        <v>0</v>
      </c>
      <c r="BE88" s="252" t="str">
        <f t="shared" ref="BE88:BE91" si="213">IF(AND($AP81&lt;&gt;0,$AQ81&lt;&gt;0),IFERROR(R88*($AP81/$AQ81),"ー"),IFERROR(IF($F22="事務所",$AV88*BE81*BE$4,$AV88*BE81*BE$5),"ー"))</f>
        <v>ー</v>
      </c>
      <c r="BF88" s="252" t="str">
        <f t="shared" ref="BF88:BF91" si="214">IF(AND($AP81&lt;&gt;0,$AQ81&lt;&gt;0),IFERROR(S88*($AP81/$AQ81),"ー"),IFERROR(IF($F22="事務所",$AV88*BF81*BF$4,$AV88*BF81*BF$5),"ー"))</f>
        <v>ー</v>
      </c>
      <c r="BG88" s="252" t="str">
        <f t="shared" ref="BG88:BG91" si="215">IF(AND($AP81&lt;&gt;0,$AQ81&lt;&gt;0),IFERROR(T88*($AP81/$AQ81),"ー"),IFERROR(IF($F22="事務所",$AV88*BG81*BG$4,$AV88*BG81*BG$5),"ー"))</f>
        <v>ー</v>
      </c>
      <c r="BH88" s="252">
        <f t="shared" ref="BH88:BH91" si="216">IF(AND($AP81&lt;&gt;0,$AQ81&lt;&gt;0),IFERROR(U88*($AP81/$AQ81),"ー"),IFERROR(IF($F22="事務所",$AV88*BH81*BH$4,$AV88*BH81*BH$5),"ー"))</f>
        <v>0</v>
      </c>
      <c r="BI88" s="252">
        <f t="shared" ref="BI88:BI91" si="217">SUM(AW88:BH88)</f>
        <v>166.14400000000001</v>
      </c>
      <c r="BK88" s="205" t="s">
        <v>50</v>
      </c>
      <c r="BL88" s="251">
        <f>空調!X62*空調!AF62*空調!Q62</f>
        <v>3.76</v>
      </c>
      <c r="BM88" s="252">
        <f t="shared" ref="BM88:BM91" si="218">IF(AND($AP81&lt;&gt;0,$AQ81&lt;&gt;0),IFERROR(Z88*($AP81/$AQ81),"ー"),IFERROR(IF($C81="事務所",$BL88*BM81*BM$4,$BL88*BM81*BM$5),"ー"))</f>
        <v>0</v>
      </c>
      <c r="BN88" s="252">
        <f t="shared" ref="BN88:BN91" si="219">IF(AND($AP81&lt;&gt;0,$AQ81&lt;&gt;0),IFERROR(AA88*($AP81/$AQ81),"ー"),IFERROR(IF($C81="事務所",$BL88*BN81*BN$4,$BL88*BN81*BN$5),"ー"))</f>
        <v>0</v>
      </c>
      <c r="BO88" s="252" t="str">
        <f t="shared" ref="BO88:BO91" si="220">IF(AND($AP81&lt;&gt;0,$AQ81&lt;&gt;0),IFERROR(AB88*($AP81/$AQ81),"ー"),IFERROR(IF($C81="事務所",$BL88*BO81*BO$4,$BL88*BO81*BO$5),"ー"))</f>
        <v>ー</v>
      </c>
      <c r="BP88" s="252" t="str">
        <f t="shared" ref="BP88:BP91" si="221">IF(AND($AP81&lt;&gt;0,$AQ81&lt;&gt;0),IFERROR(AC88*($AP81/$AQ81),"ー"),IFERROR(IF($C81="事務所",$BL88*BP81*BP$4,$BL88*BP81*BP$5),"ー"))</f>
        <v>ー</v>
      </c>
      <c r="BQ88" s="252" t="str">
        <f t="shared" ref="BQ88:BQ91" si="222">IF(AND($AP81&lt;&gt;0,$AQ81&lt;&gt;0),IFERROR(AD88*($AP81/$AQ81),"ー"),IFERROR(IF($C81="事務所",$BL88*BQ81*BQ$4,$BL88*BQ81*BQ$5),"ー"))</f>
        <v>ー</v>
      </c>
      <c r="BR88" s="252" t="str">
        <f t="shared" ref="BR88:BR91" si="223">IF(AND($AP81&lt;&gt;0,$AQ81&lt;&gt;0),IFERROR(AE88*($AP81/$AQ81),"ー"),IFERROR(IF($C81="事務所",$BL88*BR81*BR$4,$BL88*BR81*BR$5),"ー"))</f>
        <v>ー</v>
      </c>
      <c r="BS88" s="252">
        <f t="shared" ref="BS88:BS91" si="224">IF(AND($AP81&lt;&gt;0,$AQ81&lt;&gt;0),IFERROR(AF88*($AP81/$AQ81),"ー"),IFERROR(IF($C81="事務所",$BL88*BS81*BS$4,$BL88*BS81*BS$5),"ー"))</f>
        <v>0</v>
      </c>
      <c r="BT88" s="252">
        <f t="shared" ref="BT88:BT91" si="225">IF(AND($AP81&lt;&gt;0,$AQ81&lt;&gt;0),IFERROR(AG88*($AP81/$AQ81),"ー"),IFERROR(IF($C81="事務所",$BL88*BT81*BT$4,$BL88*BT81*BT$5),"ー"))</f>
        <v>0</v>
      </c>
      <c r="BU88" s="252">
        <f t="shared" ref="BU88:BU91" si="226">IF(AND($AP81&lt;&gt;0,$AQ81&lt;&gt;0),IFERROR(AH88*($AP81/$AQ81),"ー"),IFERROR(IF($C81="事務所",$BL88*BU81*BU$4,$BL88*BU81*BU$5),"ー"))</f>
        <v>30.08</v>
      </c>
      <c r="BV88" s="252">
        <f t="shared" ref="BV88:BV91" si="227">IF(AND($AP81&lt;&gt;0,$AQ81&lt;&gt;0),IFERROR(AI88*($AP81/$AQ81),"ー"),IFERROR(IF($C81="事務所",$BL88*BV81*BV$4,$BL88*BV81*BV$5),"ー"))</f>
        <v>46.623999999999995</v>
      </c>
      <c r="BW88" s="252">
        <f t="shared" ref="BW88:BW91" si="228">IF(AND($AP81&lt;&gt;0,$AQ81&lt;&gt;0),IFERROR(AJ88*($AP81/$AQ81),"ー"),IFERROR(IF($C81="事務所",$BL88*BW81*BW$4,$BL88*BW81*BW$5),"ー"))</f>
        <v>42.112000000000002</v>
      </c>
      <c r="BX88" s="252">
        <f t="shared" ref="BX88:BX91" si="229">IF(AND($AP81&lt;&gt;0,$AQ81&lt;&gt;0),IFERROR(AK88*($AP81/$AQ81),"ー"),IFERROR(IF($C81="事務所",$BL88*BX81*BX$4,$BL88*BX81*BX$5),"ー"))</f>
        <v>46.623999999999995</v>
      </c>
      <c r="BY88" s="252">
        <f t="shared" ref="BY88:BY91" si="230">SUM(BM88:BX88)</f>
        <v>165.44</v>
      </c>
    </row>
    <row r="89" spans="2:78">
      <c r="B89" s="205" t="s">
        <v>51</v>
      </c>
      <c r="C89" s="251">
        <f>VLOOKUP("電気",係数!$B$3:$C$30,2,FALSE)</f>
        <v>8.64</v>
      </c>
      <c r="D89" s="275">
        <f>VLOOKUP("電気",係数!$B$3:$H$30,7,FALSE)</f>
        <v>4.3100000000000001E-4</v>
      </c>
      <c r="E89" s="270">
        <f>(V89+AL89)*D89</f>
        <v>8.1242603520000003</v>
      </c>
      <c r="F89" s="270">
        <f>(V89+AL89)*C89*0.0000258</f>
        <v>4.2018448343040005</v>
      </c>
      <c r="H89" s="205" t="s">
        <v>51</v>
      </c>
      <c r="I89" s="251">
        <f>空調!D63*空調!J63*空調!L63</f>
        <v>208.79999999999998</v>
      </c>
      <c r="J89" s="252">
        <f t="shared" ref="J89:U89" si="231">IFERROR(IF($C82="事務所",$I89*$D82*J82*J$4,$I89*$D82*J82*J$5),"ー")</f>
        <v>0</v>
      </c>
      <c r="K89" s="252">
        <f t="shared" si="231"/>
        <v>0</v>
      </c>
      <c r="L89" s="252">
        <f t="shared" si="231"/>
        <v>855.24480000000005</v>
      </c>
      <c r="M89" s="252">
        <f t="shared" si="231"/>
        <v>3314.0736000000006</v>
      </c>
      <c r="N89" s="252">
        <f t="shared" si="231"/>
        <v>3314.0736000000006</v>
      </c>
      <c r="O89" s="252">
        <f t="shared" si="231"/>
        <v>3207.1680000000001</v>
      </c>
      <c r="P89" s="252">
        <f t="shared" si="231"/>
        <v>0</v>
      </c>
      <c r="Q89" s="252">
        <f t="shared" si="231"/>
        <v>0</v>
      </c>
      <c r="R89" s="252" t="str">
        <f t="shared" si="231"/>
        <v>ー</v>
      </c>
      <c r="S89" s="252" t="str">
        <f t="shared" si="231"/>
        <v>ー</v>
      </c>
      <c r="T89" s="252" t="str">
        <f t="shared" si="231"/>
        <v>ー</v>
      </c>
      <c r="U89" s="252">
        <f t="shared" si="231"/>
        <v>0</v>
      </c>
      <c r="V89" s="252">
        <f t="shared" si="202"/>
        <v>10690.560000000001</v>
      </c>
      <c r="X89" s="205" t="s">
        <v>51</v>
      </c>
      <c r="Y89" s="251">
        <f>空調!D63*空調!O63*空調!Q63</f>
        <v>199.20000000000002</v>
      </c>
      <c r="Z89" s="252">
        <f>IFERROR(IF($C82="事務所",$Y89*$D82*Z82*Z$4,$Y89*$D82*Z82*Z$5),"ー")</f>
        <v>0</v>
      </c>
      <c r="AA89" s="252">
        <f t="shared" ref="AA89:AK89" si="232">IFERROR(IF($C82="事務所",$Y89*$D82*AA82*AA$4,$Y89*$D82*AA82*AA$5),"ー")</f>
        <v>0</v>
      </c>
      <c r="AB89" s="252" t="str">
        <f t="shared" si="232"/>
        <v>ー</v>
      </c>
      <c r="AC89" s="252" t="str">
        <f t="shared" si="232"/>
        <v>ー</v>
      </c>
      <c r="AD89" s="252" t="str">
        <f t="shared" si="232"/>
        <v>ー</v>
      </c>
      <c r="AE89" s="252" t="str">
        <f t="shared" si="232"/>
        <v>ー</v>
      </c>
      <c r="AF89" s="252" t="str">
        <f t="shared" si="232"/>
        <v>ー</v>
      </c>
      <c r="AG89" s="252">
        <f t="shared" si="232"/>
        <v>0</v>
      </c>
      <c r="AH89" s="252">
        <f t="shared" si="232"/>
        <v>2141.7984000000006</v>
      </c>
      <c r="AI89" s="252">
        <f t="shared" si="232"/>
        <v>3161.7024000000006</v>
      </c>
      <c r="AJ89" s="252">
        <f t="shared" si="232"/>
        <v>2855.7312000000002</v>
      </c>
      <c r="AK89" s="252">
        <f t="shared" si="232"/>
        <v>0</v>
      </c>
      <c r="AL89" s="252">
        <f t="shared" si="204"/>
        <v>8159.2320000000018</v>
      </c>
      <c r="AN89" s="205" t="s">
        <v>51</v>
      </c>
      <c r="AO89" s="251">
        <f>VLOOKUP("電気",係数!$B$3:$C$30,2,FALSE)</f>
        <v>8.64</v>
      </c>
      <c r="AP89" s="256">
        <f>VLOOKUP("電気",係数!$B$3:$H$30,7,FALSE)</f>
        <v>4.3100000000000001E-4</v>
      </c>
      <c r="AQ89" s="270">
        <f>(BI89+BY89)*AP89</f>
        <v>6.84986657129412</v>
      </c>
      <c r="AR89" s="270">
        <f>(BI89+BY89)*AO89*0.0000258</f>
        <v>3.5427319191190598</v>
      </c>
      <c r="AS89" s="277"/>
      <c r="AU89" s="205" t="s">
        <v>51</v>
      </c>
      <c r="AV89" s="251">
        <f>空調!X63*空調!AC63*空調!L63</f>
        <v>0</v>
      </c>
      <c r="AW89" s="252">
        <f t="shared" si="205"/>
        <v>0</v>
      </c>
      <c r="AX89" s="252">
        <f t="shared" si="206"/>
        <v>0</v>
      </c>
      <c r="AY89" s="252">
        <f t="shared" si="207"/>
        <v>721.08875294117649</v>
      </c>
      <c r="AZ89" s="252">
        <f t="shared" si="208"/>
        <v>2794.2189176470592</v>
      </c>
      <c r="BA89" s="252">
        <f t="shared" si="209"/>
        <v>2794.2189176470592</v>
      </c>
      <c r="BB89" s="252">
        <f t="shared" si="210"/>
        <v>2704.0828235294121</v>
      </c>
      <c r="BC89" s="252">
        <f t="shared" si="211"/>
        <v>0</v>
      </c>
      <c r="BD89" s="252">
        <f t="shared" si="212"/>
        <v>0</v>
      </c>
      <c r="BE89" s="252" t="str">
        <f t="shared" si="213"/>
        <v>ー</v>
      </c>
      <c r="BF89" s="252" t="str">
        <f t="shared" si="214"/>
        <v>ー</v>
      </c>
      <c r="BG89" s="252" t="str">
        <f t="shared" si="215"/>
        <v>ー</v>
      </c>
      <c r="BH89" s="252">
        <f t="shared" si="216"/>
        <v>0</v>
      </c>
      <c r="BI89" s="252">
        <f t="shared" si="217"/>
        <v>9013.6094117647081</v>
      </c>
      <c r="BK89" s="205" t="s">
        <v>51</v>
      </c>
      <c r="BL89" s="251">
        <f>空調!X63*空調!AF63*空調!Q63</f>
        <v>0</v>
      </c>
      <c r="BM89" s="252">
        <f t="shared" si="218"/>
        <v>0</v>
      </c>
      <c r="BN89" s="252">
        <f t="shared" si="219"/>
        <v>0</v>
      </c>
      <c r="BO89" s="252" t="str">
        <f t="shared" si="220"/>
        <v>ー</v>
      </c>
      <c r="BP89" s="252" t="str">
        <f t="shared" si="221"/>
        <v>ー</v>
      </c>
      <c r="BQ89" s="252" t="str">
        <f t="shared" si="222"/>
        <v>ー</v>
      </c>
      <c r="BR89" s="252" t="str">
        <f t="shared" si="223"/>
        <v>ー</v>
      </c>
      <c r="BS89" s="252" t="str">
        <f t="shared" si="224"/>
        <v>ー</v>
      </c>
      <c r="BT89" s="252">
        <f t="shared" si="225"/>
        <v>0</v>
      </c>
      <c r="BU89" s="252">
        <f t="shared" si="226"/>
        <v>1805.8300235294123</v>
      </c>
      <c r="BV89" s="252">
        <f t="shared" si="227"/>
        <v>2665.7490823529415</v>
      </c>
      <c r="BW89" s="252">
        <f t="shared" si="228"/>
        <v>2407.7733647058826</v>
      </c>
      <c r="BX89" s="252">
        <f t="shared" si="229"/>
        <v>0</v>
      </c>
      <c r="BY89" s="252">
        <f t="shared" si="230"/>
        <v>6879.3524705882373</v>
      </c>
    </row>
    <row r="90" spans="2:78">
      <c r="B90" s="205" t="s">
        <v>52</v>
      </c>
      <c r="C90" s="251">
        <f>VLOOKUP("電気",係数!$B$3:$C$30,2,FALSE)</f>
        <v>8.64</v>
      </c>
      <c r="D90" s="275">
        <f>VLOOKUP("電気",係数!$B$3:$H$30,7,FALSE)</f>
        <v>4.3100000000000001E-4</v>
      </c>
      <c r="E90" s="270">
        <f>(V90+AL90)*D90</f>
        <v>0.18587754240000004</v>
      </c>
      <c r="F90" s="270">
        <f>(V90+AL90)*C90*0.0000258</f>
        <v>9.6135347404800023E-2</v>
      </c>
      <c r="H90" s="205" t="s">
        <v>52</v>
      </c>
      <c r="I90" s="251">
        <f>空調!D64*空調!J64*空調!L64</f>
        <v>5.16</v>
      </c>
      <c r="J90" s="252">
        <f t="shared" ref="J90:U90" si="233">IFERROR(IF($C83="事務所",$I90*$D83*J83*J$4,$I90*$D83*J83*J$5),"ー")</f>
        <v>0</v>
      </c>
      <c r="K90" s="252">
        <f t="shared" si="233"/>
        <v>0</v>
      </c>
      <c r="L90" s="252">
        <f t="shared" si="233"/>
        <v>0</v>
      </c>
      <c r="M90" s="252">
        <f t="shared" si="233"/>
        <v>84.458880000000008</v>
      </c>
      <c r="N90" s="252">
        <f t="shared" si="233"/>
        <v>84.458880000000008</v>
      </c>
      <c r="O90" s="252">
        <f t="shared" si="233"/>
        <v>49.040640000000003</v>
      </c>
      <c r="P90" s="252">
        <f t="shared" si="233"/>
        <v>0</v>
      </c>
      <c r="Q90" s="252">
        <f t="shared" si="233"/>
        <v>0</v>
      </c>
      <c r="R90" s="252" t="str">
        <f t="shared" si="233"/>
        <v>ー</v>
      </c>
      <c r="S90" s="252" t="str">
        <f t="shared" si="233"/>
        <v>ー</v>
      </c>
      <c r="T90" s="252" t="str">
        <f t="shared" si="233"/>
        <v>ー</v>
      </c>
      <c r="U90" s="252">
        <f t="shared" si="233"/>
        <v>0</v>
      </c>
      <c r="V90" s="252">
        <f t="shared" si="202"/>
        <v>217.95840000000001</v>
      </c>
      <c r="X90" s="205" t="s">
        <v>52</v>
      </c>
      <c r="Y90" s="251">
        <f>空調!D64*空調!O64*空調!Q64</f>
        <v>4.04</v>
      </c>
      <c r="Z90" s="252">
        <f>IFERROR(IF($C83="事務所",$Y90*$D83*Z83*Z$4,$Y90*$D83*Z83*Z$5),"ー")</f>
        <v>0</v>
      </c>
      <c r="AA90" s="252">
        <f t="shared" ref="AA90:AK90" si="234">IFERROR(IF($C83="事務所",$Y90*$D83*AA83*AA$4,$Y90*$D83*AA83*AA$5),"ー")</f>
        <v>0</v>
      </c>
      <c r="AB90" s="252" t="str">
        <f t="shared" si="234"/>
        <v>ー</v>
      </c>
      <c r="AC90" s="252" t="str">
        <f t="shared" si="234"/>
        <v>ー</v>
      </c>
      <c r="AD90" s="252" t="str">
        <f t="shared" si="234"/>
        <v>ー</v>
      </c>
      <c r="AE90" s="252" t="str">
        <f t="shared" si="234"/>
        <v>ー</v>
      </c>
      <c r="AF90" s="252">
        <f t="shared" si="234"/>
        <v>0</v>
      </c>
      <c r="AG90" s="252">
        <f t="shared" si="234"/>
        <v>0</v>
      </c>
      <c r="AH90" s="252">
        <f t="shared" si="234"/>
        <v>21.331200000000003</v>
      </c>
      <c r="AI90" s="252">
        <f t="shared" si="234"/>
        <v>66.12672000000002</v>
      </c>
      <c r="AJ90" s="252">
        <f t="shared" si="234"/>
        <v>59.727360000000012</v>
      </c>
      <c r="AK90" s="252">
        <f t="shared" si="234"/>
        <v>66.12672000000002</v>
      </c>
      <c r="AL90" s="252">
        <f t="shared" si="204"/>
        <v>213.31200000000007</v>
      </c>
      <c r="AN90" s="205" t="s">
        <v>52</v>
      </c>
      <c r="AO90" s="251">
        <f>VLOOKUP("電気",係数!$B$3:$C$30,2,FALSE)</f>
        <v>8.64</v>
      </c>
      <c r="AP90" s="256">
        <f>VLOOKUP("電気",係数!$B$3:$H$30,7,FALSE)</f>
        <v>4.3100000000000001E-4</v>
      </c>
      <c r="AQ90" s="270">
        <f>(BI90+BY90)*AP90</f>
        <v>0.16364338661052638</v>
      </c>
      <c r="AR90" s="270">
        <f>(BI90+BY90)*AO90*0.0000258</f>
        <v>8.4635903935326356E-2</v>
      </c>
      <c r="AS90" s="277"/>
      <c r="AU90" s="205" t="s">
        <v>52</v>
      </c>
      <c r="AV90" s="251">
        <f>空調!X64*空調!AC64*空調!L64</f>
        <v>0</v>
      </c>
      <c r="AW90" s="252">
        <f t="shared" si="205"/>
        <v>0</v>
      </c>
      <c r="AX90" s="252">
        <f t="shared" si="206"/>
        <v>0</v>
      </c>
      <c r="AY90" s="252">
        <f t="shared" si="207"/>
        <v>0</v>
      </c>
      <c r="AZ90" s="252">
        <f t="shared" si="208"/>
        <v>74.356143157894763</v>
      </c>
      <c r="BA90" s="252">
        <f t="shared" si="209"/>
        <v>74.356143157894763</v>
      </c>
      <c r="BB90" s="252">
        <f t="shared" si="210"/>
        <v>43.174534736842112</v>
      </c>
      <c r="BC90" s="252">
        <f t="shared" si="211"/>
        <v>0</v>
      </c>
      <c r="BD90" s="252">
        <f t="shared" si="212"/>
        <v>0</v>
      </c>
      <c r="BE90" s="252" t="str">
        <f t="shared" si="213"/>
        <v>ー</v>
      </c>
      <c r="BF90" s="252" t="str">
        <f t="shared" si="214"/>
        <v>ー</v>
      </c>
      <c r="BG90" s="252" t="str">
        <f t="shared" si="215"/>
        <v>ー</v>
      </c>
      <c r="BH90" s="252">
        <f t="shared" si="216"/>
        <v>0</v>
      </c>
      <c r="BI90" s="252">
        <f t="shared" si="217"/>
        <v>191.88682105263163</v>
      </c>
      <c r="BK90" s="205" t="s">
        <v>52</v>
      </c>
      <c r="BL90" s="251">
        <f>空調!X64*空調!AF64*空調!Q64</f>
        <v>0</v>
      </c>
      <c r="BM90" s="252">
        <f t="shared" si="218"/>
        <v>0</v>
      </c>
      <c r="BN90" s="252">
        <f t="shared" si="219"/>
        <v>0</v>
      </c>
      <c r="BO90" s="252" t="str">
        <f t="shared" si="220"/>
        <v>ー</v>
      </c>
      <c r="BP90" s="252" t="str">
        <f t="shared" si="221"/>
        <v>ー</v>
      </c>
      <c r="BQ90" s="252" t="str">
        <f t="shared" si="222"/>
        <v>ー</v>
      </c>
      <c r="BR90" s="252" t="str">
        <f t="shared" si="223"/>
        <v>ー</v>
      </c>
      <c r="BS90" s="252">
        <f t="shared" si="224"/>
        <v>0</v>
      </c>
      <c r="BT90" s="252">
        <f t="shared" si="225"/>
        <v>0</v>
      </c>
      <c r="BU90" s="252">
        <f t="shared" si="226"/>
        <v>18.779621052631583</v>
      </c>
      <c r="BV90" s="252">
        <f t="shared" si="227"/>
        <v>58.216825263157922</v>
      </c>
      <c r="BW90" s="252">
        <f t="shared" si="228"/>
        <v>52.58293894736844</v>
      </c>
      <c r="BX90" s="252">
        <f t="shared" si="229"/>
        <v>58.216825263157922</v>
      </c>
      <c r="BY90" s="252">
        <f t="shared" si="230"/>
        <v>187.79621052631586</v>
      </c>
    </row>
    <row r="91" spans="2:78">
      <c r="B91" s="205" t="s">
        <v>53</v>
      </c>
      <c r="C91" s="251">
        <f>VLOOKUP("電気",係数!$B$3:$C$30,2,FALSE)</f>
        <v>8.64</v>
      </c>
      <c r="D91" s="275">
        <f>VLOOKUP("電気",係数!$B$3:$H$30,7,FALSE)</f>
        <v>4.3100000000000001E-4</v>
      </c>
      <c r="E91" s="270">
        <f>(V91+AL91)*D91</f>
        <v>0.43474901040000008</v>
      </c>
      <c r="F91" s="270">
        <f>(V91+AL91)*C91*0.0000258</f>
        <v>0.22485097774080004</v>
      </c>
      <c r="H91" s="205" t="s">
        <v>53</v>
      </c>
      <c r="I91" s="251">
        <f>空調!D65*空調!J65*空調!L65</f>
        <v>8.64</v>
      </c>
      <c r="J91" s="252">
        <f t="shared" ref="J91:U91" si="235">IFERROR(IF($C84="事務所",$I91*$D84*J84*J$4,$I91*$D84*J84*J$5),"ー")</f>
        <v>0</v>
      </c>
      <c r="K91" s="252">
        <f t="shared" si="235"/>
        <v>0</v>
      </c>
      <c r="L91" s="252">
        <f t="shared" si="235"/>
        <v>83.358720000000019</v>
      </c>
      <c r="M91" s="252">
        <f t="shared" si="235"/>
        <v>143.56224000000003</v>
      </c>
      <c r="N91" s="252">
        <f t="shared" si="235"/>
        <v>143.56224000000003</v>
      </c>
      <c r="O91" s="252">
        <f t="shared" si="235"/>
        <v>138.93120000000005</v>
      </c>
      <c r="P91" s="252">
        <f t="shared" si="235"/>
        <v>0</v>
      </c>
      <c r="Q91" s="252">
        <f t="shared" si="235"/>
        <v>0</v>
      </c>
      <c r="R91" s="252" t="str">
        <f t="shared" si="235"/>
        <v>ー</v>
      </c>
      <c r="S91" s="252" t="str">
        <f t="shared" si="235"/>
        <v>ー</v>
      </c>
      <c r="T91" s="252" t="str">
        <f t="shared" si="235"/>
        <v>ー</v>
      </c>
      <c r="U91" s="252">
        <f t="shared" si="235"/>
        <v>0</v>
      </c>
      <c r="V91" s="252">
        <f t="shared" si="202"/>
        <v>509.41440000000011</v>
      </c>
      <c r="X91" s="205" t="s">
        <v>53</v>
      </c>
      <c r="Y91" s="251">
        <f>空調!D65*空調!O65*空調!Q65</f>
        <v>10.35</v>
      </c>
      <c r="Z91" s="252">
        <f>IFERROR(IF($C84="事務所",$Y91*$D84*Z84*Z$4,$Y91*$D84*Z84*Z$5),"ー")</f>
        <v>0</v>
      </c>
      <c r="AA91" s="252">
        <f t="shared" ref="AA91:AK91" si="236">IFERROR(IF($C84="事務所",$Y91*$D84*AA84*AA$4,$Y91*$D84*AA84*AA$5),"ー")</f>
        <v>0</v>
      </c>
      <c r="AB91" s="252" t="str">
        <f t="shared" si="236"/>
        <v>ー</v>
      </c>
      <c r="AC91" s="252" t="str">
        <f t="shared" si="236"/>
        <v>ー</v>
      </c>
      <c r="AD91" s="252" t="str">
        <f t="shared" si="236"/>
        <v>ー</v>
      </c>
      <c r="AE91" s="252" t="str">
        <f t="shared" si="236"/>
        <v>ー</v>
      </c>
      <c r="AF91" s="252">
        <f t="shared" si="236"/>
        <v>0</v>
      </c>
      <c r="AG91" s="252">
        <f t="shared" si="236"/>
        <v>0</v>
      </c>
      <c r="AH91" s="252">
        <f t="shared" si="236"/>
        <v>0</v>
      </c>
      <c r="AI91" s="252">
        <f t="shared" si="236"/>
        <v>171.97559999999999</v>
      </c>
      <c r="AJ91" s="252">
        <f t="shared" si="236"/>
        <v>155.33280000000002</v>
      </c>
      <c r="AK91" s="252">
        <f t="shared" si="236"/>
        <v>171.97559999999999</v>
      </c>
      <c r="AL91" s="252">
        <f t="shared" si="204"/>
        <v>499.28399999999999</v>
      </c>
      <c r="AN91" s="205" t="s">
        <v>53</v>
      </c>
      <c r="AO91" s="251">
        <f>VLOOKUP("電気",係数!$B$3:$C$30,2,FALSE)</f>
        <v>8.64</v>
      </c>
      <c r="AP91" s="256">
        <f>VLOOKUP("電気",係数!$B$3:$H$30,7,FALSE)</f>
        <v>4.3100000000000001E-4</v>
      </c>
      <c r="AQ91" s="270">
        <f>(BI91+BY91)*AP91</f>
        <v>2.4600618000000005</v>
      </c>
      <c r="AR91" s="270">
        <f>(BI91+BY91)*AO91*0.0000258</f>
        <v>1.2723371136000003</v>
      </c>
      <c r="AS91" s="277"/>
      <c r="AU91" s="205" t="s">
        <v>53</v>
      </c>
      <c r="AV91" s="251">
        <f>空調!X65*空調!AC65*空調!L65</f>
        <v>71.55</v>
      </c>
      <c r="AW91" s="252">
        <f t="shared" si="205"/>
        <v>0</v>
      </c>
      <c r="AX91" s="252">
        <f t="shared" si="206"/>
        <v>0</v>
      </c>
      <c r="AY91" s="252">
        <f t="shared" si="207"/>
        <v>515.16</v>
      </c>
      <c r="AZ91" s="252">
        <f t="shared" si="208"/>
        <v>887.21999999999991</v>
      </c>
      <c r="BA91" s="252">
        <f t="shared" si="209"/>
        <v>887.21999999999991</v>
      </c>
      <c r="BB91" s="252">
        <f t="shared" si="210"/>
        <v>858.6</v>
      </c>
      <c r="BC91" s="252">
        <f t="shared" si="211"/>
        <v>0</v>
      </c>
      <c r="BD91" s="252">
        <f t="shared" si="212"/>
        <v>0</v>
      </c>
      <c r="BE91" s="252" t="str">
        <f t="shared" si="213"/>
        <v>ー</v>
      </c>
      <c r="BF91" s="252" t="str">
        <f t="shared" si="214"/>
        <v>ー</v>
      </c>
      <c r="BG91" s="252" t="str">
        <f t="shared" si="215"/>
        <v>ー</v>
      </c>
      <c r="BH91" s="252">
        <f t="shared" si="216"/>
        <v>0</v>
      </c>
      <c r="BI91" s="252">
        <f t="shared" si="217"/>
        <v>3148.2</v>
      </c>
      <c r="BK91" s="205" t="s">
        <v>53</v>
      </c>
      <c r="BL91" s="251">
        <f>空調!X65*空調!AF65*空調!Q65</f>
        <v>71.100000000000009</v>
      </c>
      <c r="BM91" s="252">
        <f t="shared" si="218"/>
        <v>0</v>
      </c>
      <c r="BN91" s="252">
        <f t="shared" si="219"/>
        <v>0</v>
      </c>
      <c r="BO91" s="252" t="str">
        <f t="shared" si="220"/>
        <v>ー</v>
      </c>
      <c r="BP91" s="252" t="str">
        <f t="shared" si="221"/>
        <v>ー</v>
      </c>
      <c r="BQ91" s="252" t="str">
        <f t="shared" si="222"/>
        <v>ー</v>
      </c>
      <c r="BR91" s="252" t="str">
        <f t="shared" si="223"/>
        <v>ー</v>
      </c>
      <c r="BS91" s="252">
        <f t="shared" si="224"/>
        <v>0</v>
      </c>
      <c r="BT91" s="252">
        <f t="shared" si="225"/>
        <v>0</v>
      </c>
      <c r="BU91" s="252">
        <f t="shared" si="226"/>
        <v>0</v>
      </c>
      <c r="BV91" s="252">
        <f t="shared" si="227"/>
        <v>881.64000000000021</v>
      </c>
      <c r="BW91" s="252">
        <f t="shared" si="228"/>
        <v>796.32000000000016</v>
      </c>
      <c r="BX91" s="252">
        <f t="shared" si="229"/>
        <v>881.64000000000021</v>
      </c>
      <c r="BY91" s="252">
        <f t="shared" si="230"/>
        <v>2559.6000000000008</v>
      </c>
    </row>
    <row r="92" spans="2:78">
      <c r="B92" s="217" t="s">
        <v>987</v>
      </c>
      <c r="F92" s="180"/>
      <c r="H92" s="217" t="s">
        <v>927</v>
      </c>
      <c r="J92" t="s">
        <v>1064</v>
      </c>
      <c r="W92" s="180"/>
      <c r="X92" s="217" t="s">
        <v>927</v>
      </c>
      <c r="Z92" t="s">
        <v>1066</v>
      </c>
      <c r="AM92" s="180"/>
      <c r="AN92" s="217" t="s">
        <v>927</v>
      </c>
      <c r="AR92" s="180"/>
      <c r="AS92" s="180"/>
      <c r="AU92" s="217" t="s">
        <v>927</v>
      </c>
      <c r="AW92" t="s">
        <v>1066</v>
      </c>
      <c r="BJ92" s="180"/>
      <c r="BK92" s="217" t="s">
        <v>927</v>
      </c>
      <c r="BM92" t="s">
        <v>1066</v>
      </c>
      <c r="BZ92" s="180"/>
    </row>
    <row r="93" spans="2:78">
      <c r="B93" s="227"/>
      <c r="C93" s="206" t="s">
        <v>936</v>
      </c>
      <c r="D93" s="206" t="s">
        <v>390</v>
      </c>
      <c r="E93" s="206" t="s">
        <v>934</v>
      </c>
      <c r="F93" s="206" t="s">
        <v>935</v>
      </c>
      <c r="H93" s="215" t="s">
        <v>916</v>
      </c>
      <c r="I93" s="206" t="s">
        <v>1065</v>
      </c>
      <c r="J93" s="243" t="s">
        <v>894</v>
      </c>
      <c r="K93" s="243" t="s">
        <v>895</v>
      </c>
      <c r="L93" s="243" t="s">
        <v>896</v>
      </c>
      <c r="M93" s="243" t="s">
        <v>897</v>
      </c>
      <c r="N93" s="243" t="s">
        <v>898</v>
      </c>
      <c r="O93" s="243" t="s">
        <v>899</v>
      </c>
      <c r="P93" s="243" t="s">
        <v>900</v>
      </c>
      <c r="Q93" s="243" t="s">
        <v>901</v>
      </c>
      <c r="R93" s="243" t="s">
        <v>902</v>
      </c>
      <c r="S93" s="243" t="s">
        <v>903</v>
      </c>
      <c r="T93" s="243" t="s">
        <v>904</v>
      </c>
      <c r="U93" s="243" t="s">
        <v>905</v>
      </c>
      <c r="V93" s="243" t="s">
        <v>16</v>
      </c>
      <c r="W93" s="180"/>
      <c r="X93" s="216" t="s">
        <v>917</v>
      </c>
      <c r="Y93" s="206" t="s">
        <v>1065</v>
      </c>
      <c r="Z93" s="243" t="s">
        <v>894</v>
      </c>
      <c r="AA93" s="243" t="s">
        <v>895</v>
      </c>
      <c r="AB93" s="243" t="s">
        <v>896</v>
      </c>
      <c r="AC93" s="243" t="s">
        <v>897</v>
      </c>
      <c r="AD93" s="243" t="s">
        <v>898</v>
      </c>
      <c r="AE93" s="243" t="s">
        <v>899</v>
      </c>
      <c r="AF93" s="243" t="s">
        <v>900</v>
      </c>
      <c r="AG93" s="243" t="s">
        <v>901</v>
      </c>
      <c r="AH93" s="243" t="s">
        <v>902</v>
      </c>
      <c r="AI93" s="243" t="s">
        <v>903</v>
      </c>
      <c r="AJ93" s="243" t="s">
        <v>904</v>
      </c>
      <c r="AK93" s="243" t="s">
        <v>905</v>
      </c>
      <c r="AL93" s="243" t="s">
        <v>16</v>
      </c>
      <c r="AM93" s="180"/>
      <c r="AN93" s="227"/>
      <c r="AO93" s="206" t="s">
        <v>936</v>
      </c>
      <c r="AP93" s="206" t="s">
        <v>390</v>
      </c>
      <c r="AQ93" s="206" t="s">
        <v>934</v>
      </c>
      <c r="AR93" s="206" t="s">
        <v>935</v>
      </c>
      <c r="AS93" s="221"/>
      <c r="AU93" s="215" t="s">
        <v>925</v>
      </c>
      <c r="AV93" s="206" t="s">
        <v>1065</v>
      </c>
      <c r="AW93" s="243" t="s">
        <v>894</v>
      </c>
      <c r="AX93" s="243" t="s">
        <v>895</v>
      </c>
      <c r="AY93" s="243" t="s">
        <v>896</v>
      </c>
      <c r="AZ93" s="243" t="s">
        <v>897</v>
      </c>
      <c r="BA93" s="243" t="s">
        <v>898</v>
      </c>
      <c r="BB93" s="243" t="s">
        <v>899</v>
      </c>
      <c r="BC93" s="243" t="s">
        <v>900</v>
      </c>
      <c r="BD93" s="243" t="s">
        <v>901</v>
      </c>
      <c r="BE93" s="243" t="s">
        <v>902</v>
      </c>
      <c r="BF93" s="243" t="s">
        <v>903</v>
      </c>
      <c r="BG93" s="243" t="s">
        <v>904</v>
      </c>
      <c r="BH93" s="243" t="s">
        <v>905</v>
      </c>
      <c r="BI93" s="243" t="s">
        <v>16</v>
      </c>
      <c r="BJ93" s="180"/>
      <c r="BK93" s="216" t="s">
        <v>926</v>
      </c>
      <c r="BL93" s="206" t="s">
        <v>1065</v>
      </c>
      <c r="BM93" s="243" t="s">
        <v>894</v>
      </c>
      <c r="BN93" s="243" t="s">
        <v>895</v>
      </c>
      <c r="BO93" s="243" t="s">
        <v>896</v>
      </c>
      <c r="BP93" s="243" t="s">
        <v>897</v>
      </c>
      <c r="BQ93" s="243" t="s">
        <v>898</v>
      </c>
      <c r="BR93" s="243" t="s">
        <v>899</v>
      </c>
      <c r="BS93" s="243" t="s">
        <v>900</v>
      </c>
      <c r="BT93" s="243" t="s">
        <v>901</v>
      </c>
      <c r="BU93" s="243" t="s">
        <v>902</v>
      </c>
      <c r="BV93" s="243" t="s">
        <v>903</v>
      </c>
      <c r="BW93" s="243" t="s">
        <v>904</v>
      </c>
      <c r="BX93" s="243" t="s">
        <v>905</v>
      </c>
      <c r="BY93" s="243" t="s">
        <v>16</v>
      </c>
      <c r="BZ93" s="180"/>
    </row>
    <row r="94" spans="2:78">
      <c r="B94" s="205" t="s">
        <v>49</v>
      </c>
      <c r="C94" s="255">
        <f>IF($E80&lt;&gt;"LPG",VLOOKUP("都市ガス",係数!$B$3:$C$30,2,FALSE),VLOOKUP("液化石油ガス（LPG）",係数!$B$3:$C$30,2,FALSE)/0.458)</f>
        <v>40</v>
      </c>
      <c r="D94" s="275">
        <f>IF($E80&lt;&gt;"LPG",VLOOKUP("都市ガス",係数!$B$3:$H$30,7,FALSE),VLOOKUP("液化石油ガス（LPG）",係数!$B$3:$H$30,7,FALSE)/0.458)</f>
        <v>2.0500000000000002E-3</v>
      </c>
      <c r="E94" s="270">
        <f>(V94+AL94)*D94</f>
        <v>0</v>
      </c>
      <c r="F94" s="270">
        <f>(V94+AL94)*C94*0.0000258</f>
        <v>0</v>
      </c>
      <c r="H94" s="205" t="s">
        <v>49</v>
      </c>
      <c r="I94" s="251">
        <f>空調!D61*空調!K61*空調!L61</f>
        <v>0</v>
      </c>
      <c r="J94" s="252" t="str">
        <f>IFERROR(IF($C80="事務所",$I94*$D80*J80*J$4*860/$F80,$I94*$D80*J80*J$5*860/$F80),"ー")</f>
        <v>ー</v>
      </c>
      <c r="K94" s="252" t="str">
        <f t="shared" ref="K94:U94" si="237">IFERROR(IF($C80="事務所",$I94*$D80*K80*K$4*860/$F80,$I94*$D80*K80*K$5*860/$F80),"ー")</f>
        <v>ー</v>
      </c>
      <c r="L94" s="252" t="str">
        <f t="shared" si="237"/>
        <v>ー</v>
      </c>
      <c r="M94" s="252" t="str">
        <f t="shared" si="237"/>
        <v>ー</v>
      </c>
      <c r="N94" s="252" t="str">
        <f t="shared" si="237"/>
        <v>ー</v>
      </c>
      <c r="O94" s="252" t="str">
        <f t="shared" si="237"/>
        <v>ー</v>
      </c>
      <c r="P94" s="252" t="str">
        <f t="shared" si="237"/>
        <v>ー</v>
      </c>
      <c r="Q94" s="252" t="str">
        <f t="shared" si="237"/>
        <v>ー</v>
      </c>
      <c r="R94" s="252" t="str">
        <f t="shared" si="237"/>
        <v>ー</v>
      </c>
      <c r="S94" s="252" t="str">
        <f t="shared" si="237"/>
        <v>ー</v>
      </c>
      <c r="T94" s="252" t="str">
        <f t="shared" si="237"/>
        <v>ー</v>
      </c>
      <c r="U94" s="252" t="str">
        <f t="shared" si="237"/>
        <v>ー</v>
      </c>
      <c r="V94" s="252">
        <f>SUM(J94:U94)</f>
        <v>0</v>
      </c>
      <c r="W94" s="180"/>
      <c r="X94" s="205" t="s">
        <v>49</v>
      </c>
      <c r="Y94" s="251">
        <f>空調!D61*空調!P61*空調!Q61</f>
        <v>0</v>
      </c>
      <c r="Z94" s="252" t="str">
        <f>IFERROR(IF($C80="事務所",$Y94*$D80*Z80*Z$4*860/$F80,$Y94*$D80*Z80*Z$5*860/$F80),"ー")</f>
        <v>ー</v>
      </c>
      <c r="AA94" s="252" t="str">
        <f t="shared" ref="AA94:AK94" si="238">IFERROR(IF($C80="事務所",$Y94*$D80*AA80*AA$4*860/$F80,$Y94*$D80*AA80*AA$5*860/$F80),"ー")</f>
        <v>ー</v>
      </c>
      <c r="AB94" s="252" t="str">
        <f t="shared" si="238"/>
        <v>ー</v>
      </c>
      <c r="AC94" s="252" t="str">
        <f t="shared" si="238"/>
        <v>ー</v>
      </c>
      <c r="AD94" s="252" t="str">
        <f t="shared" si="238"/>
        <v>ー</v>
      </c>
      <c r="AE94" s="252" t="str">
        <f t="shared" si="238"/>
        <v>ー</v>
      </c>
      <c r="AF94" s="252" t="str">
        <f t="shared" si="238"/>
        <v>ー</v>
      </c>
      <c r="AG94" s="252" t="str">
        <f t="shared" si="238"/>
        <v>ー</v>
      </c>
      <c r="AH94" s="252" t="str">
        <f t="shared" si="238"/>
        <v>ー</v>
      </c>
      <c r="AI94" s="252" t="str">
        <f t="shared" si="238"/>
        <v>ー</v>
      </c>
      <c r="AJ94" s="252" t="str">
        <f t="shared" si="238"/>
        <v>ー</v>
      </c>
      <c r="AK94" s="252" t="str">
        <f t="shared" si="238"/>
        <v>ー</v>
      </c>
      <c r="AL94" s="252">
        <f>SUM(Z94:AK94)</f>
        <v>0</v>
      </c>
      <c r="AM94" s="180"/>
      <c r="AN94" s="205" t="s">
        <v>49</v>
      </c>
      <c r="AO94" s="254">
        <f>IF($AR80&lt;&gt;"LPG",VLOOKUP("都市ガス",係数!$B$3:$C$30,2,FALSE),VLOOKUP("液化石油ガス（LPG）",係数!$B$3:$C$30,2,FALSE)/0.458)</f>
        <v>40</v>
      </c>
      <c r="AP94" s="254">
        <f>IF($AR80&lt;&gt;"LPG",VLOOKUP("都市ガス",係数!$B$3:$H$30,7,FALSE),VLOOKUP("液化石油ガス（LPG）",係数!$B$3:$H$30,7,FALSE)/0.458)</f>
        <v>2.0500000000000002E-3</v>
      </c>
      <c r="AQ94" s="270">
        <f>(BI94+BY94)*AP94</f>
        <v>0</v>
      </c>
      <c r="AR94" s="270">
        <f>(BI94+BY94)*AO94*0.0000258</f>
        <v>0</v>
      </c>
      <c r="AS94" s="277"/>
      <c r="AU94" s="205" t="s">
        <v>49</v>
      </c>
      <c r="AV94" s="251">
        <f>空調!X61*空調!AG61*空調!L61</f>
        <v>0</v>
      </c>
      <c r="AW94" s="252" t="str">
        <f>IF(AND($AP80&lt;&gt;0,$AQ80&lt;&gt;0),IFERROR(J94*($AP80/$AQ80),"ー"),IFERROR(IF($C80="事務所",$AV94*$D80*AW80*AW$4*860/$AS80,$AV94*$D80*AW80*AW$5*860/$AS80),"ー"))</f>
        <v>ー</v>
      </c>
      <c r="AX94" s="252" t="str">
        <f t="shared" ref="AX94:BH94" si="239">IF(AND($AP80&lt;&gt;0,$AQ80&lt;&gt;0),IFERROR(K94*($AP80/$AQ80),"ー"),IFERROR(IF($C80="事務所",$AV94*$D80*AX80*AX$4*860/$AS80,$AV94*$D80*AX80*AX$5*860/$AS80),"ー"))</f>
        <v>ー</v>
      </c>
      <c r="AY94" s="252" t="str">
        <f t="shared" si="239"/>
        <v>ー</v>
      </c>
      <c r="AZ94" s="252" t="str">
        <f t="shared" si="239"/>
        <v>ー</v>
      </c>
      <c r="BA94" s="252" t="str">
        <f t="shared" si="239"/>
        <v>ー</v>
      </c>
      <c r="BB94" s="252" t="str">
        <f t="shared" si="239"/>
        <v>ー</v>
      </c>
      <c r="BC94" s="252" t="str">
        <f t="shared" si="239"/>
        <v>ー</v>
      </c>
      <c r="BD94" s="252" t="str">
        <f t="shared" si="239"/>
        <v>ー</v>
      </c>
      <c r="BE94" s="252" t="str">
        <f t="shared" si="239"/>
        <v>ー</v>
      </c>
      <c r="BF94" s="252" t="str">
        <f t="shared" si="239"/>
        <v>ー</v>
      </c>
      <c r="BG94" s="252" t="str">
        <f t="shared" si="239"/>
        <v>ー</v>
      </c>
      <c r="BH94" s="252" t="str">
        <f t="shared" si="239"/>
        <v>ー</v>
      </c>
      <c r="BI94" s="252">
        <f>SUM(AW94:BH94)</f>
        <v>0</v>
      </c>
      <c r="BJ94" s="180"/>
      <c r="BK94" s="205" t="s">
        <v>49</v>
      </c>
      <c r="BL94" s="251">
        <f>空調!X61*空調!AG61*空調!Q61</f>
        <v>0</v>
      </c>
      <c r="BM94" s="252" t="str">
        <f>IF(AND($AP80&lt;&gt;0,$AQ80&lt;&gt;0),IFERROR(Z94*($AP80/$AQ80),"ー"),IFERROR(IF($F9="事務所",$BL94*BM80*BM$4*860/$AS80,$BL94*BM80*BM$5*860/$AS80),"ー"))</f>
        <v>ー</v>
      </c>
      <c r="BN94" s="252" t="str">
        <f t="shared" ref="BN94:BX94" si="240">IF(AND($AP80&lt;&gt;0,$AQ80&lt;&gt;0),IFERROR(AA94*($AP80/$AQ80),"ー"),IFERROR(IF($F9="事務所",$BL94*BN80*BN$4*860/$AS80,$BL94*BN80*BN$5*860/$AS80),"ー"))</f>
        <v>ー</v>
      </c>
      <c r="BO94" s="252" t="str">
        <f t="shared" si="240"/>
        <v>ー</v>
      </c>
      <c r="BP94" s="252" t="str">
        <f t="shared" si="240"/>
        <v>ー</v>
      </c>
      <c r="BQ94" s="252" t="str">
        <f t="shared" si="240"/>
        <v>ー</v>
      </c>
      <c r="BR94" s="252" t="str">
        <f t="shared" si="240"/>
        <v>ー</v>
      </c>
      <c r="BS94" s="252" t="str">
        <f t="shared" si="240"/>
        <v>ー</v>
      </c>
      <c r="BT94" s="252" t="str">
        <f t="shared" si="240"/>
        <v>ー</v>
      </c>
      <c r="BU94" s="252" t="str">
        <f t="shared" si="240"/>
        <v>ー</v>
      </c>
      <c r="BV94" s="252" t="str">
        <f t="shared" si="240"/>
        <v>ー</v>
      </c>
      <c r="BW94" s="252" t="str">
        <f t="shared" si="240"/>
        <v>ー</v>
      </c>
      <c r="BX94" s="252" t="str">
        <f t="shared" si="240"/>
        <v>ー</v>
      </c>
      <c r="BY94" s="252">
        <f>SUM(BM94:BX94)</f>
        <v>0</v>
      </c>
      <c r="BZ94" s="180"/>
    </row>
    <row r="95" spans="2:78">
      <c r="B95" s="205" t="s">
        <v>50</v>
      </c>
      <c r="C95" s="255">
        <f>IF($E81&lt;&gt;"LPG",VLOOKUP("都市ガス",係数!$B$3:$C$30,2,FALSE),VLOOKUP("液化石油ガス（LPG）",係数!$B$3:$C$30,2,FALSE)/0.458)</f>
        <v>40</v>
      </c>
      <c r="D95" s="275">
        <f>IF($E81&lt;&gt;"LPG",VLOOKUP("都市ガス",係数!$B$3:$H$30,7,FALSE),VLOOKUP("液化石油ガス（LPG）",係数!$B$3:$H$30,7,FALSE)/0.458)</f>
        <v>2.0500000000000002E-3</v>
      </c>
      <c r="E95" s="270">
        <f>(V95+AL95)*D95</f>
        <v>5.3322351709090912</v>
      </c>
      <c r="F95" s="270">
        <f>(V95+AL95)*C95*0.0000258</f>
        <v>2.6843252177454544</v>
      </c>
      <c r="H95" s="205" t="s">
        <v>50</v>
      </c>
      <c r="I95" s="251">
        <f>空調!D62*空調!K62*空調!L62</f>
        <v>321.60000000000002</v>
      </c>
      <c r="J95" s="252">
        <f t="shared" ref="J95:U95" si="241">IFERROR(IF($C81="事務所",$I95*$D81*J81*J$4*860/$F81,$I95*$D81*J81*J$5*860/$F81),"ー")</f>
        <v>0</v>
      </c>
      <c r="K95" s="252">
        <f t="shared" si="241"/>
        <v>0</v>
      </c>
      <c r="L95" s="252">
        <f t="shared" si="241"/>
        <v>0</v>
      </c>
      <c r="M95" s="252">
        <f>IFERROR(IF($C81="事務所",$I95*$D81*M81*M$4*860/$F81,$I95*$D81*M81*M$5*860/$F81),"ー")</f>
        <v>448.9582778181819</v>
      </c>
      <c r="N95" s="252">
        <f t="shared" si="241"/>
        <v>448.9582778181819</v>
      </c>
      <c r="O95" s="252">
        <f t="shared" si="241"/>
        <v>260.68545163636367</v>
      </c>
      <c r="P95" s="252">
        <f t="shared" si="241"/>
        <v>0</v>
      </c>
      <c r="Q95" s="252">
        <f t="shared" si="241"/>
        <v>0</v>
      </c>
      <c r="R95" s="252" t="str">
        <f t="shared" si="241"/>
        <v>ー</v>
      </c>
      <c r="S95" s="252" t="str">
        <f t="shared" si="241"/>
        <v>ー</v>
      </c>
      <c r="T95" s="252" t="str">
        <f t="shared" si="241"/>
        <v>ー</v>
      </c>
      <c r="U95" s="252">
        <f t="shared" si="241"/>
        <v>0</v>
      </c>
      <c r="V95" s="252">
        <f t="shared" ref="V95:V98" si="242">SUM(J95:U95)</f>
        <v>1158.6020072727274</v>
      </c>
      <c r="W95" s="180"/>
      <c r="X95" s="205" t="s">
        <v>50</v>
      </c>
      <c r="Y95" s="251">
        <f>空調!D62*空調!P62*空調!Q62</f>
        <v>291.2</v>
      </c>
      <c r="Z95" s="252">
        <f t="shared" ref="Z95:AK95" si="243">IFERROR(IF($C81="事務所",$Y95*$D81*Z81*Z$4*860/$F81,$Y95*$D81*Z81*Z$5*860/$F81),"ー")</f>
        <v>0</v>
      </c>
      <c r="AA95" s="252">
        <f t="shared" si="243"/>
        <v>0</v>
      </c>
      <c r="AB95" s="252" t="str">
        <f t="shared" si="243"/>
        <v>ー</v>
      </c>
      <c r="AC95" s="252" t="str">
        <f t="shared" si="243"/>
        <v>ー</v>
      </c>
      <c r="AD95" s="252" t="str">
        <f t="shared" si="243"/>
        <v>ー</v>
      </c>
      <c r="AE95" s="252" t="str">
        <f t="shared" si="243"/>
        <v>ー</v>
      </c>
      <c r="AF95" s="252">
        <f t="shared" si="243"/>
        <v>0</v>
      </c>
      <c r="AG95" s="252">
        <f t="shared" si="243"/>
        <v>0</v>
      </c>
      <c r="AH95" s="252">
        <f t="shared" si="243"/>
        <v>262.2706036363636</v>
      </c>
      <c r="AI95" s="252">
        <f t="shared" si="243"/>
        <v>406.5194356363636</v>
      </c>
      <c r="AJ95" s="252">
        <f t="shared" si="243"/>
        <v>367.17884509090908</v>
      </c>
      <c r="AK95" s="252">
        <f t="shared" si="243"/>
        <v>406.5194356363636</v>
      </c>
      <c r="AL95" s="252">
        <f t="shared" ref="AL95:AL98" si="244">SUM(Z95:AK95)</f>
        <v>1442.4883199999999</v>
      </c>
      <c r="AM95" s="180"/>
      <c r="AN95" s="205" t="s">
        <v>50</v>
      </c>
      <c r="AO95" s="254">
        <f>IF($AR81&lt;&gt;"LPG",VLOOKUP("都市ガス",係数!$B$3:$C$30,2,FALSE),VLOOKUP("液化石油ガス（LPG）",係数!$B$3:$C$30,2,FALSE)/0.458)</f>
        <v>40</v>
      </c>
      <c r="AP95" s="254">
        <f>IF($AR81&lt;&gt;"LPG",VLOOKUP("都市ガス",係数!$B$3:$H$30,7,FALSE),VLOOKUP("液化石油ガス（LPG）",係数!$B$3:$H$30,7,FALSE)/0.458)</f>
        <v>2.0500000000000002E-3</v>
      </c>
      <c r="AQ95" s="270">
        <f>(BI95+BY95)*AP95</f>
        <v>3.9731634734545462</v>
      </c>
      <c r="AR95" s="270">
        <f>(BI95+BY95)*AO95*0.0000258</f>
        <v>2.0001486363927272</v>
      </c>
      <c r="AS95" s="277"/>
      <c r="AU95" s="205" t="s">
        <v>50</v>
      </c>
      <c r="AV95" s="251">
        <f>空調!X62*空調!AG62*空調!L62</f>
        <v>275.2</v>
      </c>
      <c r="AW95" s="252">
        <f t="shared" ref="AW95:AW98" si="245">IF(AND($AP81&lt;&gt;0,$AQ81&lt;&gt;0),IFERROR(J95*($AP81/$AQ81),"ー"),IFERROR(IF($C81="事務所",$AV95*$D81*AW81*AW$4*860/$AS81,$AV95*$D81*AW81*AW$5*860/$AS81),"ー"))</f>
        <v>0</v>
      </c>
      <c r="AX95" s="252">
        <f t="shared" ref="AX95:AX98" si="246">IF(AND($AP81&lt;&gt;0,$AQ81&lt;&gt;0),IFERROR(K95*($AP81/$AQ81),"ー"),IFERROR(IF($C81="事務所",$AV95*$D81*AX81*AX$4*860/$AS81,$AV95*$D81*AX81*AX$5*860/$AS81),"ー"))</f>
        <v>0</v>
      </c>
      <c r="AY95" s="252">
        <f t="shared" ref="AY95:AY98" si="247">IF(AND($AP81&lt;&gt;0,$AQ81&lt;&gt;0),IFERROR(L95*($AP81/$AQ81),"ー"),IFERROR(IF($C81="事務所",$AV95*$D81*AY81*AY$4*860/$AS81,$AV95*$D81*AY81*AY$5*860/$AS81),"ー"))</f>
        <v>0</v>
      </c>
      <c r="AZ95" s="252">
        <f t="shared" ref="AZ95:AZ98" si="248">IF(AND($AP81&lt;&gt;0,$AQ81&lt;&gt;0),IFERROR(M95*($AP81/$AQ81),"ー"),IFERROR(IF($C81="事務所",$AV95*$D81*AZ81*AZ$4*860/$AS81,$AV95*$D81*AZ81*AZ$5*860/$AS81),"ー"))</f>
        <v>384.18320290909088</v>
      </c>
      <c r="BA95" s="252">
        <f t="shared" ref="BA95:BA98" si="249">IF(AND($AP81&lt;&gt;0,$AQ81&lt;&gt;0),IFERROR(N95*($AP81/$AQ81),"ー"),IFERROR(IF($C81="事務所",$AV95*$D81*BA81*BA$4*860/$AS81,$AV95*$D81*BA81*BA$5*860/$AS81),"ー"))</f>
        <v>384.18320290909088</v>
      </c>
      <c r="BB95" s="252">
        <f t="shared" ref="BB95:BB98" si="250">IF(AND($AP81&lt;&gt;0,$AQ81&lt;&gt;0),IFERROR(O95*($AP81/$AQ81),"ー"),IFERROR(IF($C81="事務所",$AV95*$D81*BB81*BB$4*860/$AS81,$AV95*$D81*BB81*BB$5*860/$AS81),"ー"))</f>
        <v>223.07411781818183</v>
      </c>
      <c r="BC95" s="252">
        <f t="shared" ref="BC95:BC98" si="251">IF(AND($AP81&lt;&gt;0,$AQ81&lt;&gt;0),IFERROR(P95*($AP81/$AQ81),"ー"),IFERROR(IF($C81="事務所",$AV95*$D81*BC81*BC$4*860/$AS81,$AV95*$D81*BC81*BC$5*860/$AS81),"ー"))</f>
        <v>0</v>
      </c>
      <c r="BD95" s="252">
        <f t="shared" ref="BD95:BD98" si="252">IF(AND($AP81&lt;&gt;0,$AQ81&lt;&gt;0),IFERROR(Q95*($AP81/$AQ81),"ー"),IFERROR(IF($C81="事務所",$AV95*$D81*BD81*BD$4*860/$AS81,$AV95*$D81*BD81*BD$5*860/$AS81),"ー"))</f>
        <v>0</v>
      </c>
      <c r="BE95" s="252" t="str">
        <f t="shared" ref="BE95:BE98" si="253">IF(AND($AP81&lt;&gt;0,$AQ81&lt;&gt;0),IFERROR(R95*($AP81/$AQ81),"ー"),IFERROR(IF($C81="事務所",$AV95*$D81*BE81*BE$4*860/$AS81,$AV95*$D81*BE81*BE$5*860/$AS81),"ー"))</f>
        <v>ー</v>
      </c>
      <c r="BF95" s="252" t="str">
        <f t="shared" ref="BF95:BF98" si="254">IF(AND($AP81&lt;&gt;0,$AQ81&lt;&gt;0),IFERROR(S95*($AP81/$AQ81),"ー"),IFERROR(IF($C81="事務所",$AV95*$D81*BF81*BF$4*860/$AS81,$AV95*$D81*BF81*BF$5*860/$AS81),"ー"))</f>
        <v>ー</v>
      </c>
      <c r="BG95" s="252" t="str">
        <f t="shared" ref="BG95:BG98" si="255">IF(AND($AP81&lt;&gt;0,$AQ81&lt;&gt;0),IFERROR(T95*($AP81/$AQ81),"ー"),IFERROR(IF($C81="事務所",$AV95*$D81*BG81*BG$4*860/$AS81,$AV95*$D81*BG81*BG$5*860/$AS81),"ー"))</f>
        <v>ー</v>
      </c>
      <c r="BH95" s="252">
        <f t="shared" ref="BH95:BH98" si="256">IF(AND($AP81&lt;&gt;0,$AQ81&lt;&gt;0),IFERROR(U95*($AP81/$AQ81),"ー"),IFERROR(IF($C81="事務所",$AV95*$D81*BH81*BH$4*860/$AS81,$AV95*$D81*BH81*BH$5*860/$AS81),"ー"))</f>
        <v>0</v>
      </c>
      <c r="BI95" s="252">
        <f t="shared" ref="BI95:BI98" si="257">SUM(AW95:BH95)</f>
        <v>991.44052363636365</v>
      </c>
      <c r="BJ95" s="180"/>
      <c r="BK95" s="205" t="s">
        <v>50</v>
      </c>
      <c r="BL95" s="251">
        <f>空調!X62*空調!AG62*空調!Q62</f>
        <v>275.2</v>
      </c>
      <c r="BM95" s="252">
        <f t="shared" ref="BM95:BM98" si="258">IF(AND($AP81&lt;&gt;0,$AQ81&lt;&gt;0),IFERROR(Z95*($AP81/$AQ81),"ー"),IFERROR(IF($F10="事務所",$BL95*BM81*BM$4*860/$AS81,$BL95*BM81*BM$5*860/$AS81),"ー"))</f>
        <v>0</v>
      </c>
      <c r="BN95" s="252">
        <f t="shared" ref="BN95:BN98" si="259">IF(AND($AP81&lt;&gt;0,$AQ81&lt;&gt;0),IFERROR(AA95*($AP81/$AQ81),"ー"),IFERROR(IF($F10="事務所",$BL95*BN81*BN$4*860/$AS81,$BL95*BN81*BN$5*860/$AS81),"ー"))</f>
        <v>0</v>
      </c>
      <c r="BO95" s="252" t="str">
        <f t="shared" ref="BO95:BO98" si="260">IF(AND($AP81&lt;&gt;0,$AQ81&lt;&gt;0),IFERROR(AB95*($AP81/$AQ81),"ー"),IFERROR(IF($F10="事務所",$BL95*BO81*BO$4*860/$AS81,$BL95*BO81*BO$5*860/$AS81),"ー"))</f>
        <v>ー</v>
      </c>
      <c r="BP95" s="252" t="str">
        <f t="shared" ref="BP95:BP98" si="261">IF(AND($AP81&lt;&gt;0,$AQ81&lt;&gt;0),IFERROR(AC95*($AP81/$AQ81),"ー"),IFERROR(IF($F10="事務所",$BL95*BP81*BP$4*860/$AS81,$BL95*BP81*BP$5*860/$AS81),"ー"))</f>
        <v>ー</v>
      </c>
      <c r="BQ95" s="252" t="str">
        <f t="shared" ref="BQ95:BQ98" si="262">IF(AND($AP81&lt;&gt;0,$AQ81&lt;&gt;0),IFERROR(AD95*($AP81/$AQ81),"ー"),IFERROR(IF($F10="事務所",$BL95*BQ81*BQ$4*860/$AS81,$BL95*BQ81*BQ$5*860/$AS81),"ー"))</f>
        <v>ー</v>
      </c>
      <c r="BR95" s="252" t="str">
        <f t="shared" ref="BR95:BR98" si="263">IF(AND($AP81&lt;&gt;0,$AQ81&lt;&gt;0),IFERROR(AE95*($AP81/$AQ81),"ー"),IFERROR(IF($F10="事務所",$BL95*BR81*BR$4*860/$AS81,$BL95*BR81*BR$5*860/$AS81),"ー"))</f>
        <v>ー</v>
      </c>
      <c r="BS95" s="252">
        <f t="shared" ref="BS95:BS98" si="264">IF(AND($AP81&lt;&gt;0,$AQ81&lt;&gt;0),IFERROR(AF95*($AP81/$AQ81),"ー"),IFERROR(IF($F10="事務所",$BL95*BS81*BS$4*860/$AS81,$BL95*BS81*BS$5*860/$AS81),"ー"))</f>
        <v>0</v>
      </c>
      <c r="BT95" s="252">
        <f t="shared" ref="BT95:BT98" si="265">IF(AND($AP81&lt;&gt;0,$AQ81&lt;&gt;0),IFERROR(AG95*($AP81/$AQ81),"ー"),IFERROR(IF($F10="事務所",$BL95*BT81*BT$4*860/$AS81,$BL95*BT81*BT$5*860/$AS81),"ー"))</f>
        <v>0</v>
      </c>
      <c r="BU95" s="252">
        <f t="shared" ref="BU95:BU98" si="266">IF(AND($AP81&lt;&gt;0,$AQ81&lt;&gt;0),IFERROR(AH95*($AP81/$AQ81),"ー"),IFERROR(IF($F10="事務所",$BL95*BU81*BU$4*860/$AS81,$BL95*BU81*BU$5*860/$AS81),"ー"))</f>
        <v>172.12509090909091</v>
      </c>
      <c r="BV95" s="252">
        <f t="shared" ref="BV95:BV98" si="267">IF(AND($AP81&lt;&gt;0,$AQ81&lt;&gt;0),IFERROR(AI95*($AP81/$AQ81),"ー"),IFERROR(IF($F10="事務所",$BL95*BV81*BV$4*860/$AS81,$BL95*BV81*BV$5*860/$AS81),"ー"))</f>
        <v>266.79389090909092</v>
      </c>
      <c r="BW95" s="252">
        <f t="shared" ref="BW95:BW98" si="268">IF(AND($AP81&lt;&gt;0,$AQ81&lt;&gt;0),IFERROR(AJ95*($AP81/$AQ81),"ー"),IFERROR(IF($F10="事務所",$BL95*BW81*BW$4*860/$AS81,$BL95*BW81*BW$5*860/$AS81),"ー"))</f>
        <v>240.97512727272726</v>
      </c>
      <c r="BX95" s="252">
        <f t="shared" ref="BX95:BX98" si="269">IF(AND($AP81&lt;&gt;0,$AQ81&lt;&gt;0),IFERROR(AK95*($AP81/$AQ81),"ー"),IFERROR(IF($F10="事務所",$BL95*BX81*BX$4*860/$AS81,$BL95*BX81*BX$5*860/$AS81),"ー"))</f>
        <v>266.79389090909092</v>
      </c>
      <c r="BY95" s="252">
        <f t="shared" ref="BY95:BY98" si="270">SUM(BM95:BX95)</f>
        <v>946.68799999999999</v>
      </c>
      <c r="BZ95" s="180"/>
    </row>
    <row r="96" spans="2:78">
      <c r="B96" s="205" t="s">
        <v>51</v>
      </c>
      <c r="C96" s="255">
        <f>IF($E82&lt;&gt;"LPG",VLOOKUP("都市ガス",係数!$B$3:$C$30,2,FALSE),VLOOKUP("液化石油ガス（LPG）",係数!$B$3:$C$30,2,FALSE)/0.458)</f>
        <v>40</v>
      </c>
      <c r="D96" s="275">
        <f>IF($E82&lt;&gt;"LPG",VLOOKUP("都市ガス",係数!$B$3:$H$30,7,FALSE),VLOOKUP("液化石油ガス（LPG）",係数!$B$3:$H$30,7,FALSE)/0.458)</f>
        <v>2.0500000000000002E-3</v>
      </c>
      <c r="E96" s="270">
        <f>(V96+AL96)*D96</f>
        <v>0</v>
      </c>
      <c r="F96" s="270">
        <f>(V96+AL96)*C96*0.0000258</f>
        <v>0</v>
      </c>
      <c r="H96" s="205" t="s">
        <v>51</v>
      </c>
      <c r="I96" s="251">
        <f>空調!D63*空調!K63*空調!L63</f>
        <v>0</v>
      </c>
      <c r="J96" s="252" t="str">
        <f t="shared" ref="J96:U96" si="271">IFERROR(IF($C82="事務所",$I96*$D82*J82*J$4*860/$F82,$I96*$D82*J82*J$5*860/$F82),"ー")</f>
        <v>ー</v>
      </c>
      <c r="K96" s="252" t="str">
        <f t="shared" si="271"/>
        <v>ー</v>
      </c>
      <c r="L96" s="252" t="str">
        <f t="shared" si="271"/>
        <v>ー</v>
      </c>
      <c r="M96" s="252" t="str">
        <f t="shared" si="271"/>
        <v>ー</v>
      </c>
      <c r="N96" s="252" t="str">
        <f t="shared" si="271"/>
        <v>ー</v>
      </c>
      <c r="O96" s="252" t="str">
        <f t="shared" si="271"/>
        <v>ー</v>
      </c>
      <c r="P96" s="252" t="str">
        <f t="shared" si="271"/>
        <v>ー</v>
      </c>
      <c r="Q96" s="252" t="str">
        <f t="shared" si="271"/>
        <v>ー</v>
      </c>
      <c r="R96" s="252" t="str">
        <f t="shared" si="271"/>
        <v>ー</v>
      </c>
      <c r="S96" s="252" t="str">
        <f t="shared" si="271"/>
        <v>ー</v>
      </c>
      <c r="T96" s="252" t="str">
        <f t="shared" si="271"/>
        <v>ー</v>
      </c>
      <c r="U96" s="252" t="str">
        <f t="shared" si="271"/>
        <v>ー</v>
      </c>
      <c r="V96" s="252">
        <f t="shared" si="242"/>
        <v>0</v>
      </c>
      <c r="W96" s="180"/>
      <c r="X96" s="205" t="s">
        <v>51</v>
      </c>
      <c r="Y96" s="251">
        <f>空調!D63*空調!P63*空調!Q63</f>
        <v>0</v>
      </c>
      <c r="Z96" s="252" t="str">
        <f t="shared" ref="Z96:AK96" si="272">IFERROR(IF($C82="事務所",$Y96*$D82*Z82*Z$4*860/$F82,$Y96*$D82*Z82*Z$5*860/$F82),"ー")</f>
        <v>ー</v>
      </c>
      <c r="AA96" s="252" t="str">
        <f t="shared" si="272"/>
        <v>ー</v>
      </c>
      <c r="AB96" s="252" t="str">
        <f t="shared" si="272"/>
        <v>ー</v>
      </c>
      <c r="AC96" s="252" t="str">
        <f t="shared" si="272"/>
        <v>ー</v>
      </c>
      <c r="AD96" s="252" t="str">
        <f t="shared" si="272"/>
        <v>ー</v>
      </c>
      <c r="AE96" s="252" t="str">
        <f t="shared" si="272"/>
        <v>ー</v>
      </c>
      <c r="AF96" s="252" t="str">
        <f t="shared" si="272"/>
        <v>ー</v>
      </c>
      <c r="AG96" s="252" t="str">
        <f t="shared" si="272"/>
        <v>ー</v>
      </c>
      <c r="AH96" s="252" t="str">
        <f t="shared" si="272"/>
        <v>ー</v>
      </c>
      <c r="AI96" s="252" t="str">
        <f t="shared" si="272"/>
        <v>ー</v>
      </c>
      <c r="AJ96" s="252" t="str">
        <f t="shared" si="272"/>
        <v>ー</v>
      </c>
      <c r="AK96" s="252" t="str">
        <f t="shared" si="272"/>
        <v>ー</v>
      </c>
      <c r="AL96" s="252">
        <f t="shared" si="244"/>
        <v>0</v>
      </c>
      <c r="AM96" s="180"/>
      <c r="AN96" s="205" t="s">
        <v>51</v>
      </c>
      <c r="AO96" s="254">
        <f>IF($AR82&lt;&gt;"LPG",VLOOKUP("都市ガス",係数!$B$3:$C$30,2,FALSE),VLOOKUP("液化石油ガス（LPG）",係数!$B$3:$C$30,2,FALSE)/0.458)</f>
        <v>40</v>
      </c>
      <c r="AP96" s="254">
        <f>IF($AR82&lt;&gt;"LPG",VLOOKUP("都市ガス",係数!$B$3:$H$30,7,FALSE),VLOOKUP("液化石油ガス（LPG）",係数!$B$3:$H$30,7,FALSE)/0.458)</f>
        <v>2.0500000000000002E-3</v>
      </c>
      <c r="AQ96" s="270">
        <f>(BI96+BY96)*AP96</f>
        <v>0</v>
      </c>
      <c r="AR96" s="270">
        <f>(BI96+BY96)*AO96*0.0000258</f>
        <v>0</v>
      </c>
      <c r="AS96" s="277"/>
      <c r="AU96" s="205" t="s">
        <v>51</v>
      </c>
      <c r="AV96" s="251">
        <f>空調!X63*空調!AG63*空調!L63</f>
        <v>0</v>
      </c>
      <c r="AW96" s="252" t="str">
        <f t="shared" si="245"/>
        <v>ー</v>
      </c>
      <c r="AX96" s="252" t="str">
        <f t="shared" si="246"/>
        <v>ー</v>
      </c>
      <c r="AY96" s="252" t="str">
        <f t="shared" si="247"/>
        <v>ー</v>
      </c>
      <c r="AZ96" s="252" t="str">
        <f t="shared" si="248"/>
        <v>ー</v>
      </c>
      <c r="BA96" s="252" t="str">
        <f t="shared" si="249"/>
        <v>ー</v>
      </c>
      <c r="BB96" s="252" t="str">
        <f t="shared" si="250"/>
        <v>ー</v>
      </c>
      <c r="BC96" s="252" t="str">
        <f t="shared" si="251"/>
        <v>ー</v>
      </c>
      <c r="BD96" s="252" t="str">
        <f t="shared" si="252"/>
        <v>ー</v>
      </c>
      <c r="BE96" s="252" t="str">
        <f t="shared" si="253"/>
        <v>ー</v>
      </c>
      <c r="BF96" s="252" t="str">
        <f t="shared" si="254"/>
        <v>ー</v>
      </c>
      <c r="BG96" s="252" t="str">
        <f t="shared" si="255"/>
        <v>ー</v>
      </c>
      <c r="BH96" s="252" t="str">
        <f t="shared" si="256"/>
        <v>ー</v>
      </c>
      <c r="BI96" s="252">
        <f t="shared" si="257"/>
        <v>0</v>
      </c>
      <c r="BJ96" s="180"/>
      <c r="BK96" s="205" t="s">
        <v>51</v>
      </c>
      <c r="BL96" s="251">
        <f>空調!X63*空調!AG63*空調!Q63</f>
        <v>0</v>
      </c>
      <c r="BM96" s="252" t="str">
        <f t="shared" si="258"/>
        <v>ー</v>
      </c>
      <c r="BN96" s="252" t="str">
        <f t="shared" si="259"/>
        <v>ー</v>
      </c>
      <c r="BO96" s="252" t="str">
        <f t="shared" si="260"/>
        <v>ー</v>
      </c>
      <c r="BP96" s="252" t="str">
        <f t="shared" si="261"/>
        <v>ー</v>
      </c>
      <c r="BQ96" s="252" t="str">
        <f t="shared" si="262"/>
        <v>ー</v>
      </c>
      <c r="BR96" s="252" t="str">
        <f t="shared" si="263"/>
        <v>ー</v>
      </c>
      <c r="BS96" s="252" t="str">
        <f t="shared" si="264"/>
        <v>ー</v>
      </c>
      <c r="BT96" s="252" t="str">
        <f t="shared" si="265"/>
        <v>ー</v>
      </c>
      <c r="BU96" s="252" t="str">
        <f t="shared" si="266"/>
        <v>ー</v>
      </c>
      <c r="BV96" s="252" t="str">
        <f t="shared" si="267"/>
        <v>ー</v>
      </c>
      <c r="BW96" s="252" t="str">
        <f t="shared" si="268"/>
        <v>ー</v>
      </c>
      <c r="BX96" s="252" t="str">
        <f t="shared" si="269"/>
        <v>ー</v>
      </c>
      <c r="BY96" s="252">
        <f t="shared" si="270"/>
        <v>0</v>
      </c>
      <c r="BZ96" s="180"/>
    </row>
    <row r="97" spans="2:78">
      <c r="B97" s="205" t="s">
        <v>52</v>
      </c>
      <c r="C97" s="255">
        <f>IF($E83&lt;&gt;"LPG",VLOOKUP("都市ガス",係数!$B$3:$C$30,2,FALSE),VLOOKUP("液化石油ガス（LPG）",係数!$B$3:$C$30,2,FALSE)/0.458)</f>
        <v>40</v>
      </c>
      <c r="D97" s="275">
        <f>IF($E83&lt;&gt;"LPG",VLOOKUP("都市ガス",係数!$B$3:$H$30,7,FALSE),VLOOKUP("液化石油ガス（LPG）",係数!$B$3:$H$30,7,FALSE)/0.458)</f>
        <v>2.0500000000000002E-3</v>
      </c>
      <c r="E97" s="270">
        <f>(V97+AL97)*D97</f>
        <v>4.4099258880000001</v>
      </c>
      <c r="F97" s="270">
        <f>(V97+AL97)*C97*0.0000258</f>
        <v>2.2200212275199998</v>
      </c>
      <c r="H97" s="205" t="s">
        <v>52</v>
      </c>
      <c r="I97" s="251">
        <f>空調!D64*空調!K64*空調!L64</f>
        <v>302.39999999999998</v>
      </c>
      <c r="J97" s="252">
        <f t="shared" ref="J97:U97" si="273">IFERROR(IF($C83="事務所",$I97*$D83*J83*J$4*860/$F83,$I97*$D83*J83*J$5*860/$F83),"ー")</f>
        <v>0</v>
      </c>
      <c r="K97" s="252">
        <f t="shared" si="273"/>
        <v>0</v>
      </c>
      <c r="L97" s="252">
        <f t="shared" si="273"/>
        <v>0</v>
      </c>
      <c r="M97" s="252">
        <f t="shared" si="273"/>
        <v>386.97523200000001</v>
      </c>
      <c r="N97" s="252">
        <f t="shared" si="273"/>
        <v>386.97523200000001</v>
      </c>
      <c r="O97" s="252">
        <f t="shared" si="273"/>
        <v>224.69529600000001</v>
      </c>
      <c r="P97" s="252">
        <f t="shared" si="273"/>
        <v>0</v>
      </c>
      <c r="Q97" s="252">
        <f t="shared" si="273"/>
        <v>0</v>
      </c>
      <c r="R97" s="252" t="str">
        <f t="shared" si="273"/>
        <v>ー</v>
      </c>
      <c r="S97" s="252" t="str">
        <f t="shared" si="273"/>
        <v>ー</v>
      </c>
      <c r="T97" s="252" t="str">
        <f t="shared" si="273"/>
        <v>ー</v>
      </c>
      <c r="U97" s="252">
        <f t="shared" si="273"/>
        <v>0</v>
      </c>
      <c r="V97" s="252">
        <f t="shared" si="242"/>
        <v>998.64576</v>
      </c>
      <c r="W97" s="180"/>
      <c r="X97" s="205" t="s">
        <v>52</v>
      </c>
      <c r="Y97" s="251">
        <f>空調!D64*空調!P64*空調!Q64</f>
        <v>279.2</v>
      </c>
      <c r="Z97" s="252">
        <f t="shared" ref="Z97:AK97" si="274">IFERROR(IF($C83="事務所",$Y97*$D83*Z83*Z$4*860/$F83,$Y97*$D83*Z83*Z$5*860/$F83),"ー")</f>
        <v>0</v>
      </c>
      <c r="AA97" s="252">
        <f t="shared" si="274"/>
        <v>0</v>
      </c>
      <c r="AB97" s="252" t="str">
        <f t="shared" si="274"/>
        <v>ー</v>
      </c>
      <c r="AC97" s="252" t="str">
        <f t="shared" si="274"/>
        <v>ー</v>
      </c>
      <c r="AD97" s="252" t="str">
        <f t="shared" si="274"/>
        <v>ー</v>
      </c>
      <c r="AE97" s="252" t="str">
        <f t="shared" si="274"/>
        <v>ー</v>
      </c>
      <c r="AF97" s="252">
        <f t="shared" si="274"/>
        <v>0</v>
      </c>
      <c r="AG97" s="252">
        <f t="shared" si="274"/>
        <v>0</v>
      </c>
      <c r="AH97" s="252">
        <f t="shared" si="274"/>
        <v>115.25375999999999</v>
      </c>
      <c r="AI97" s="252">
        <f t="shared" si="274"/>
        <v>357.28665599999999</v>
      </c>
      <c r="AJ97" s="252">
        <f t="shared" si="274"/>
        <v>322.71052799999995</v>
      </c>
      <c r="AK97" s="252">
        <f t="shared" si="274"/>
        <v>357.28665599999999</v>
      </c>
      <c r="AL97" s="252">
        <f t="shared" si="244"/>
        <v>1152.5375999999999</v>
      </c>
      <c r="AM97" s="180"/>
      <c r="AN97" s="205" t="s">
        <v>52</v>
      </c>
      <c r="AO97" s="254">
        <f>IF($AR83&lt;&gt;"LPG",VLOOKUP("都市ガス",係数!$B$3:$C$30,2,FALSE),VLOOKUP("液化石油ガス（LPG）",係数!$B$3:$C$30,2,FALSE)/0.458)</f>
        <v>40</v>
      </c>
      <c r="AP97" s="254">
        <f>IF($AR83&lt;&gt;"LPG",VLOOKUP("都市ガス",係数!$B$3:$H$30,7,FALSE),VLOOKUP("液化石油ガス（LPG）",係数!$B$3:$H$30,7,FALSE)/0.458)</f>
        <v>2.0500000000000002E-3</v>
      </c>
      <c r="AQ97" s="270">
        <f>(BI97+BY97)*AP97</f>
        <v>3.8824227913492835</v>
      </c>
      <c r="AR97" s="270">
        <f>(BI97+BY97)*AO97*0.0000258</f>
        <v>1.9544684491085171</v>
      </c>
      <c r="AS97" s="277"/>
      <c r="AU97" s="205" t="s">
        <v>52</v>
      </c>
      <c r="AV97" s="251">
        <f>空調!X64*空調!AG64*空調!L64</f>
        <v>0</v>
      </c>
      <c r="AW97" s="252">
        <f t="shared" si="245"/>
        <v>0</v>
      </c>
      <c r="AX97" s="252">
        <f t="shared" si="246"/>
        <v>0</v>
      </c>
      <c r="AY97" s="252">
        <f t="shared" si="247"/>
        <v>0</v>
      </c>
      <c r="AZ97" s="252">
        <f t="shared" si="248"/>
        <v>340.68632865071777</v>
      </c>
      <c r="BA97" s="252">
        <f t="shared" si="249"/>
        <v>340.68632865071777</v>
      </c>
      <c r="BB97" s="252">
        <f t="shared" si="250"/>
        <v>197.81786824880388</v>
      </c>
      <c r="BC97" s="252">
        <f t="shared" si="251"/>
        <v>0</v>
      </c>
      <c r="BD97" s="252">
        <f t="shared" si="252"/>
        <v>0</v>
      </c>
      <c r="BE97" s="252" t="str">
        <f t="shared" si="253"/>
        <v>ー</v>
      </c>
      <c r="BF97" s="252" t="str">
        <f t="shared" si="254"/>
        <v>ー</v>
      </c>
      <c r="BG97" s="252" t="str">
        <f t="shared" si="255"/>
        <v>ー</v>
      </c>
      <c r="BH97" s="252">
        <f t="shared" si="256"/>
        <v>0</v>
      </c>
      <c r="BI97" s="252">
        <f t="shared" si="257"/>
        <v>879.19052555023939</v>
      </c>
      <c r="BJ97" s="180"/>
      <c r="BK97" s="205" t="s">
        <v>52</v>
      </c>
      <c r="BL97" s="251">
        <f>空調!X64*空調!AG64*空調!Q64</f>
        <v>0</v>
      </c>
      <c r="BM97" s="252">
        <f t="shared" si="258"/>
        <v>0</v>
      </c>
      <c r="BN97" s="252">
        <f t="shared" si="259"/>
        <v>0</v>
      </c>
      <c r="BO97" s="252" t="str">
        <f t="shared" si="260"/>
        <v>ー</v>
      </c>
      <c r="BP97" s="252" t="str">
        <f t="shared" si="261"/>
        <v>ー</v>
      </c>
      <c r="BQ97" s="252" t="str">
        <f t="shared" si="262"/>
        <v>ー</v>
      </c>
      <c r="BR97" s="252" t="str">
        <f t="shared" si="263"/>
        <v>ー</v>
      </c>
      <c r="BS97" s="252">
        <f t="shared" si="264"/>
        <v>0</v>
      </c>
      <c r="BT97" s="252">
        <f t="shared" si="265"/>
        <v>0</v>
      </c>
      <c r="BU97" s="252">
        <f t="shared" si="266"/>
        <v>101.46742507177034</v>
      </c>
      <c r="BV97" s="252">
        <f t="shared" si="267"/>
        <v>314.54901772248809</v>
      </c>
      <c r="BW97" s="252">
        <f t="shared" si="268"/>
        <v>284.10879020095695</v>
      </c>
      <c r="BX97" s="252">
        <f t="shared" si="269"/>
        <v>314.54901772248809</v>
      </c>
      <c r="BY97" s="252">
        <f t="shared" si="270"/>
        <v>1014.6742507177034</v>
      </c>
      <c r="BZ97" s="180"/>
    </row>
    <row r="98" spans="2:78">
      <c r="B98" s="205" t="s">
        <v>53</v>
      </c>
      <c r="C98" s="255">
        <f>IF($E84&lt;&gt;"LPG",VLOOKUP("都市ガス",係数!$B$3:$C$30,2,FALSE),VLOOKUP("液化石油ガス（LPG）",係数!$B$3:$C$30,2,FALSE)/0.458)</f>
        <v>109.3886462882096</v>
      </c>
      <c r="D98" s="275">
        <f>IF($E84&lt;&gt;"LPG",VLOOKUP("都市ガス",係数!$B$3:$H$30,7,FALSE),VLOOKUP("液化石油ガス（LPG）",係数!$B$3:$H$30,7,FALSE)/0.458)</f>
        <v>6.5377947598253272E-3</v>
      </c>
      <c r="E98" s="270">
        <f>(V98+AL98)*D98</f>
        <v>6.7276234225978175</v>
      </c>
      <c r="F98" s="270">
        <f>(V98+AL98)*C98*0.0000258</f>
        <v>2.9041720742279478</v>
      </c>
      <c r="H98" s="205" t="s">
        <v>53</v>
      </c>
      <c r="I98" s="251">
        <f>空調!D65*空調!K65*空調!L65</f>
        <v>269.09999999999997</v>
      </c>
      <c r="J98" s="252">
        <f>IFERROR(IF($C84="事務所",$I98*$D84*J84*J$4*860/$F84,$I98*$D84*J84*J$5*860/$F84),"ー")</f>
        <v>0</v>
      </c>
      <c r="K98" s="252">
        <f t="shared" ref="K98:T98" si="275">IFERROR(IF($C84="事務所",$I98*$D84*K84*K$4*860/$F84,$I98*$D84*K84*K$5*860/$F84),"ー")</f>
        <v>0</v>
      </c>
      <c r="L98" s="252">
        <f t="shared" si="275"/>
        <v>93.033252000000005</v>
      </c>
      <c r="M98" s="252">
        <f t="shared" si="275"/>
        <v>160.22393400000001</v>
      </c>
      <c r="N98" s="252">
        <f t="shared" si="275"/>
        <v>160.22393400000001</v>
      </c>
      <c r="O98" s="252">
        <f t="shared" si="275"/>
        <v>155.05541999999997</v>
      </c>
      <c r="P98" s="252">
        <f t="shared" si="275"/>
        <v>0</v>
      </c>
      <c r="Q98" s="252">
        <f t="shared" si="275"/>
        <v>0</v>
      </c>
      <c r="R98" s="252" t="str">
        <f t="shared" si="275"/>
        <v>ー</v>
      </c>
      <c r="S98" s="252" t="str">
        <f t="shared" si="275"/>
        <v>ー</v>
      </c>
      <c r="T98" s="252" t="str">
        <f t="shared" si="275"/>
        <v>ー</v>
      </c>
      <c r="U98" s="252">
        <f>IFERROR(IF($C84="事務所",$I98*$D84*U84*U$4*860/$F84,$I98*$D84*U84*U$5*860/$F84),"ー")</f>
        <v>0</v>
      </c>
      <c r="V98" s="252">
        <f t="shared" si="242"/>
        <v>568.53654000000006</v>
      </c>
      <c r="W98" s="180"/>
      <c r="X98" s="205" t="s">
        <v>53</v>
      </c>
      <c r="Y98" s="251">
        <f>空調!D65*空調!P65*空調!Q65</f>
        <v>266.40000000000003</v>
      </c>
      <c r="Z98" s="252">
        <f t="shared" ref="Z98:AK98" si="276">IFERROR(IF($C84="事務所",$Y98*$D84*Z84*Z$4*860/$F84,$Y98*$D84*Z84*Z$5*860/$F84),"ー")</f>
        <v>0</v>
      </c>
      <c r="AA98" s="252">
        <f t="shared" si="276"/>
        <v>0</v>
      </c>
      <c r="AB98" s="252" t="str">
        <f t="shared" si="276"/>
        <v>ー</v>
      </c>
      <c r="AC98" s="252" t="str">
        <f t="shared" si="276"/>
        <v>ー</v>
      </c>
      <c r="AD98" s="252" t="str">
        <f t="shared" si="276"/>
        <v>ー</v>
      </c>
      <c r="AE98" s="252" t="str">
        <f t="shared" si="276"/>
        <v>ー</v>
      </c>
      <c r="AF98" s="252">
        <f t="shared" si="276"/>
        <v>0</v>
      </c>
      <c r="AG98" s="252">
        <f t="shared" si="276"/>
        <v>0</v>
      </c>
      <c r="AH98" s="252">
        <f t="shared" si="276"/>
        <v>0</v>
      </c>
      <c r="AI98" s="252">
        <f t="shared" si="276"/>
        <v>158.61633600000002</v>
      </c>
      <c r="AJ98" s="252">
        <f t="shared" si="276"/>
        <v>143.26636800000003</v>
      </c>
      <c r="AK98" s="252">
        <f t="shared" si="276"/>
        <v>158.61633600000002</v>
      </c>
      <c r="AL98" s="252">
        <f t="shared" si="244"/>
        <v>460.49904000000004</v>
      </c>
      <c r="AM98" s="180"/>
      <c r="AN98" s="205" t="s">
        <v>53</v>
      </c>
      <c r="AO98" s="254">
        <f>IF($AR84&lt;&gt;"LPG",VLOOKUP("都市ガス",係数!$B$3:$C$30,2,FALSE),VLOOKUP("液化石油ガス（LPG）",係数!$B$3:$C$30,2,FALSE)/0.458)</f>
        <v>40</v>
      </c>
      <c r="AP98" s="254">
        <f>IF($AR84&lt;&gt;"LPG",VLOOKUP("都市ガス",係数!$B$3:$H$30,7,FALSE),VLOOKUP("液化石油ガス（LPG）",係数!$B$3:$H$30,7,FALSE)/0.458)</f>
        <v>2.0500000000000002E-3</v>
      </c>
      <c r="AQ98" s="270">
        <f>(BI98+BY98)*AP98</f>
        <v>0</v>
      </c>
      <c r="AR98" s="270">
        <f>(BI98+BY98)*AO98*0.0000258</f>
        <v>0</v>
      </c>
      <c r="AS98" s="277"/>
      <c r="AU98" s="205" t="s">
        <v>53</v>
      </c>
      <c r="AV98" s="251">
        <f>空調!X65*空調!AG65*空調!L65</f>
        <v>0</v>
      </c>
      <c r="AW98" s="252" t="str">
        <f t="shared" si="245"/>
        <v>ー</v>
      </c>
      <c r="AX98" s="252" t="str">
        <f t="shared" si="246"/>
        <v>ー</v>
      </c>
      <c r="AY98" s="252" t="str">
        <f t="shared" si="247"/>
        <v>ー</v>
      </c>
      <c r="AZ98" s="252" t="str">
        <f t="shared" si="248"/>
        <v>ー</v>
      </c>
      <c r="BA98" s="252" t="str">
        <f t="shared" si="249"/>
        <v>ー</v>
      </c>
      <c r="BB98" s="252" t="str">
        <f t="shared" si="250"/>
        <v>ー</v>
      </c>
      <c r="BC98" s="252" t="str">
        <f t="shared" si="251"/>
        <v>ー</v>
      </c>
      <c r="BD98" s="252" t="str">
        <f t="shared" si="252"/>
        <v>ー</v>
      </c>
      <c r="BE98" s="252" t="str">
        <f t="shared" si="253"/>
        <v>ー</v>
      </c>
      <c r="BF98" s="252" t="str">
        <f t="shared" si="254"/>
        <v>ー</v>
      </c>
      <c r="BG98" s="252" t="str">
        <f t="shared" si="255"/>
        <v>ー</v>
      </c>
      <c r="BH98" s="252" t="str">
        <f t="shared" si="256"/>
        <v>ー</v>
      </c>
      <c r="BI98" s="252">
        <f t="shared" si="257"/>
        <v>0</v>
      </c>
      <c r="BJ98" s="180"/>
      <c r="BK98" s="205" t="s">
        <v>53</v>
      </c>
      <c r="BL98" s="251">
        <f>空調!X65*空調!AG65*空調!Q65</f>
        <v>0</v>
      </c>
      <c r="BM98" s="252" t="str">
        <f t="shared" si="258"/>
        <v>ー</v>
      </c>
      <c r="BN98" s="252" t="str">
        <f t="shared" si="259"/>
        <v>ー</v>
      </c>
      <c r="BO98" s="252" t="str">
        <f t="shared" si="260"/>
        <v>ー</v>
      </c>
      <c r="BP98" s="252" t="str">
        <f t="shared" si="261"/>
        <v>ー</v>
      </c>
      <c r="BQ98" s="252" t="str">
        <f t="shared" si="262"/>
        <v>ー</v>
      </c>
      <c r="BR98" s="252" t="str">
        <f t="shared" si="263"/>
        <v>ー</v>
      </c>
      <c r="BS98" s="252" t="str">
        <f t="shared" si="264"/>
        <v>ー</v>
      </c>
      <c r="BT98" s="252" t="str">
        <f t="shared" si="265"/>
        <v>ー</v>
      </c>
      <c r="BU98" s="252" t="str">
        <f t="shared" si="266"/>
        <v>ー</v>
      </c>
      <c r="BV98" s="252" t="str">
        <f t="shared" si="267"/>
        <v>ー</v>
      </c>
      <c r="BW98" s="252" t="str">
        <f t="shared" si="268"/>
        <v>ー</v>
      </c>
      <c r="BX98" s="252" t="str">
        <f t="shared" si="269"/>
        <v>ー</v>
      </c>
      <c r="BY98" s="252">
        <f t="shared" si="270"/>
        <v>0</v>
      </c>
      <c r="BZ98" s="180"/>
    </row>
    <row r="99" spans="2:78">
      <c r="C99" s="312" t="s">
        <v>1015</v>
      </c>
      <c r="Y99" s="312"/>
      <c r="AO99" s="312" t="s">
        <v>1015</v>
      </c>
      <c r="AV99" s="312"/>
      <c r="BM99" s="312"/>
    </row>
  </sheetData>
  <mergeCells count="4">
    <mergeCell ref="B2:C2"/>
    <mergeCell ref="AN2:AO2"/>
    <mergeCell ref="B3:B4"/>
    <mergeCell ref="AN3:AN4"/>
  </mergeCells>
  <phoneticPr fontId="6"/>
  <pageMargins left="0.7" right="0.7" top="0.75" bottom="0.75" header="0.3" footer="0.3"/>
  <pageSetup paperSize="8" scale="37" fitToWidth="0" orientation="landscape" verticalDpi="0"/>
  <colBreaks count="1" manualBreakCount="1">
    <brk id="45" max="71" man="1"/>
  </colBreaks>
  <ignoredErrors>
    <ignoredError sqref="R10:R29" formulaRange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0"/>
  <sheetViews>
    <sheetView topLeftCell="A2" zoomScaleNormal="100" workbookViewId="0">
      <selection activeCell="C22" sqref="C22"/>
    </sheetView>
  </sheetViews>
  <sheetFormatPr defaultColWidth="8.83203125" defaultRowHeight="18"/>
  <cols>
    <col min="1" max="1" width="3.58203125" style="14" customWidth="1"/>
    <col min="2" max="2" width="6.9140625" style="14" customWidth="1"/>
    <col min="3" max="3" width="19.9140625" style="14" customWidth="1"/>
    <col min="4" max="4" width="10.1640625" style="14" customWidth="1"/>
    <col min="5" max="5" width="13.33203125" style="14" customWidth="1"/>
    <col min="6" max="13" width="10.1640625" style="14" customWidth="1"/>
    <col min="14" max="14" width="5.08203125" style="14" customWidth="1"/>
    <col min="15" max="22" width="10.1640625" style="14" customWidth="1"/>
    <col min="23" max="23" width="20.08203125" style="14" customWidth="1"/>
    <col min="24" max="25" width="10.08203125" style="14" customWidth="1"/>
    <col min="26" max="26" width="10.1640625" style="14" customWidth="1"/>
    <col min="27" max="27" width="10.08203125" style="14" customWidth="1"/>
    <col min="28" max="40" width="10.1640625" style="14" customWidth="1"/>
    <col min="41" max="16384" width="8.83203125" style="14"/>
  </cols>
  <sheetData>
    <row r="1" spans="1:27" ht="29">
      <c r="A1" s="13" t="str">
        <f>照明!A1</f>
        <v>令和7年度：排出量削減効果算定シート</v>
      </c>
      <c r="F1" s="409"/>
      <c r="G1" s="22"/>
      <c r="H1" s="22"/>
      <c r="I1" s="409"/>
      <c r="J1" s="22"/>
      <c r="K1" s="22"/>
      <c r="L1" s="410"/>
      <c r="M1" s="22"/>
    </row>
    <row r="2" spans="1:27" ht="29">
      <c r="A2" s="13" t="s">
        <v>395</v>
      </c>
    </row>
    <row r="3" spans="1:27" ht="22.5">
      <c r="B3" s="259" t="s">
        <v>928</v>
      </c>
      <c r="H3" s="19"/>
      <c r="I3" s="19"/>
      <c r="K3" s="618" t="str">
        <f>IF(OR(M8=M9,N8=N9),"特記事項","特記事項（記載必須）")</f>
        <v>特記事項</v>
      </c>
      <c r="L3" s="618"/>
      <c r="M3" s="618"/>
      <c r="N3" s="618"/>
      <c r="O3" s="618"/>
      <c r="P3" s="618"/>
      <c r="Q3" s="618"/>
      <c r="R3" s="618"/>
      <c r="S3" s="618"/>
      <c r="T3" s="618"/>
    </row>
    <row r="4" spans="1:27">
      <c r="B4" s="649" t="s">
        <v>20</v>
      </c>
      <c r="C4" s="650"/>
      <c r="D4" s="100" t="s">
        <v>21</v>
      </c>
      <c r="E4" s="404" t="s">
        <v>22</v>
      </c>
      <c r="F4" s="404" t="s">
        <v>23</v>
      </c>
      <c r="G4" s="404" t="s">
        <v>24</v>
      </c>
      <c r="H4" s="19"/>
      <c r="I4" s="19"/>
      <c r="K4" s="653" t="s">
        <v>1038</v>
      </c>
      <c r="L4" s="653"/>
      <c r="M4" s="653"/>
      <c r="N4" s="653"/>
      <c r="O4" s="653"/>
      <c r="P4" s="653"/>
      <c r="Q4" s="653"/>
      <c r="R4" s="653"/>
      <c r="S4" s="653"/>
      <c r="T4" s="653"/>
    </row>
    <row r="5" spans="1:27">
      <c r="B5" s="651" t="s">
        <v>3</v>
      </c>
      <c r="C5" s="652"/>
      <c r="D5" s="101" t="s">
        <v>8</v>
      </c>
      <c r="E5" s="63">
        <f>U21</f>
        <v>0</v>
      </c>
      <c r="F5" s="63">
        <f>AI21</f>
        <v>0</v>
      </c>
      <c r="G5" s="529">
        <f>ROUND(AL21,1)</f>
        <v>0</v>
      </c>
      <c r="H5" s="19"/>
      <c r="I5" s="19"/>
      <c r="J5" s="279"/>
      <c r="L5" s="22"/>
    </row>
    <row r="6" spans="1:27">
      <c r="B6" s="651" t="s">
        <v>1117</v>
      </c>
      <c r="C6" s="652"/>
      <c r="D6" s="402" t="s">
        <v>29</v>
      </c>
      <c r="E6" s="172">
        <f>V21</f>
        <v>0</v>
      </c>
      <c r="F6" s="172">
        <f>AJ21</f>
        <v>0</v>
      </c>
      <c r="G6" s="338">
        <f>ROUND(AM21,1)</f>
        <v>0</v>
      </c>
      <c r="H6" s="530"/>
      <c r="I6" s="531"/>
      <c r="K6" s="654" t="s">
        <v>371</v>
      </c>
      <c r="L6" s="654"/>
      <c r="M6" s="654"/>
      <c r="N6" s="654"/>
      <c r="O6" s="654"/>
      <c r="P6" s="654"/>
      <c r="Q6" s="654"/>
      <c r="R6" s="654"/>
      <c r="S6" s="654"/>
      <c r="T6" s="654"/>
    </row>
    <row r="7" spans="1:27">
      <c r="B7" s="453" t="s">
        <v>1050</v>
      </c>
      <c r="C7" s="22"/>
      <c r="D7" s="22"/>
      <c r="E7" s="22"/>
      <c r="F7" s="22"/>
      <c r="G7" s="22"/>
      <c r="H7" s="22"/>
      <c r="I7" s="22"/>
      <c r="K7" s="646" t="s">
        <v>370</v>
      </c>
      <c r="L7" s="646"/>
      <c r="M7" s="402" t="s">
        <v>357</v>
      </c>
      <c r="N7" s="402" t="s">
        <v>17</v>
      </c>
      <c r="O7" s="655" t="str">
        <f>IF(OR(M8&lt;M9,N8&lt;N9),"やむを得ず増加する場合は特記事項欄に理由を記載してください。(要根拠資料提出)",IF(OR(M8&gt;M9,N8&gt;N9),"減少する理由を特記事項欄に記載してください。","ー"))</f>
        <v>ー</v>
      </c>
      <c r="P7" s="656"/>
      <c r="Q7" s="656"/>
      <c r="R7" s="656"/>
      <c r="S7" s="656"/>
      <c r="T7" s="657"/>
    </row>
    <row r="8" spans="1:27">
      <c r="C8" s="22"/>
      <c r="D8" s="122"/>
      <c r="E8" s="271"/>
      <c r="F8" s="22"/>
      <c r="G8" s="22"/>
      <c r="H8" s="22"/>
      <c r="I8" s="22"/>
      <c r="K8" s="609" t="s">
        <v>1019</v>
      </c>
      <c r="L8" s="609"/>
      <c r="M8" s="11">
        <f>SUMPRODUCT(($K$22:$K$31=M7)*($K$22:$K$31=M7),$J$22:$J$31*$D$22:$D$31)</f>
        <v>0</v>
      </c>
      <c r="N8" s="11">
        <f>SUMPRODUCT(($K$22:$K$31=N7)*($K$22:$K$31=N7),$J$22:$J$31*$D$22:$D$31)</f>
        <v>0</v>
      </c>
      <c r="O8" s="658"/>
      <c r="P8" s="659"/>
      <c r="Q8" s="659"/>
      <c r="R8" s="659"/>
      <c r="S8" s="659"/>
      <c r="T8" s="660"/>
    </row>
    <row r="9" spans="1:27">
      <c r="C9" s="22"/>
      <c r="D9" s="122"/>
      <c r="E9" s="271"/>
      <c r="F9" s="22"/>
      <c r="G9" s="22"/>
      <c r="H9" s="22"/>
      <c r="I9" s="22"/>
      <c r="K9" s="609" t="s">
        <v>1020</v>
      </c>
      <c r="L9" s="609"/>
      <c r="M9" s="11">
        <f>SUMPRODUCT(($AB$22:$AB$31=M7)*($AB$22:$AB$31=M7),$AA$22:$AA$31*$X$22:$X$31)</f>
        <v>0</v>
      </c>
      <c r="N9" s="11">
        <f>SUMPRODUCT(($AB$22:$AB$31=N7)*($AB$22:$AB$31=N7),$AA$22:$AA$31*$X$22:$X$31)</f>
        <v>0</v>
      </c>
      <c r="O9" s="661"/>
      <c r="P9" s="662"/>
      <c r="Q9" s="662"/>
      <c r="R9" s="662"/>
      <c r="S9" s="662"/>
      <c r="T9" s="663"/>
    </row>
    <row r="10" spans="1:27">
      <c r="A10" s="28"/>
      <c r="C10" s="22"/>
      <c r="D10" s="122"/>
      <c r="E10" s="22"/>
      <c r="F10" s="22"/>
      <c r="G10" s="22"/>
      <c r="H10" s="22"/>
      <c r="I10" s="2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8.5" thickBot="1">
      <c r="A11" s="28"/>
      <c r="C11" s="22"/>
      <c r="D11" s="122"/>
      <c r="E11" s="22"/>
      <c r="F11" s="22"/>
      <c r="G11" s="22"/>
      <c r="H11" s="22"/>
      <c r="I11" s="22"/>
      <c r="J11" s="2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>
      <c r="A12" s="28"/>
      <c r="C12" s="22"/>
      <c r="D12" s="122"/>
      <c r="E12" s="22"/>
      <c r="F12" s="22"/>
      <c r="G12" s="22"/>
      <c r="H12" s="22"/>
      <c r="I12" s="22"/>
      <c r="J12" s="22"/>
      <c r="K12" s="454" t="s">
        <v>884</v>
      </c>
      <c r="L12" s="303"/>
      <c r="M12" s="303"/>
      <c r="N12" s="455"/>
      <c r="O12" s="455"/>
      <c r="P12" s="455"/>
      <c r="Q12" s="455"/>
      <c r="R12" s="316"/>
      <c r="S12" s="510" t="s">
        <v>878</v>
      </c>
      <c r="T12" s="511"/>
      <c r="U12" s="511"/>
      <c r="V12" s="318"/>
      <c r="W12" s="511"/>
      <c r="X12" s="142"/>
      <c r="Y12" s="319"/>
      <c r="Z12" s="19"/>
      <c r="AA12" s="19"/>
    </row>
    <row r="13" spans="1:27" ht="18.5" thickBot="1">
      <c r="A13" s="28"/>
      <c r="C13" s="22"/>
      <c r="D13" s="122"/>
      <c r="E13" s="22"/>
      <c r="F13" s="22"/>
      <c r="G13" s="22"/>
      <c r="H13" s="22"/>
      <c r="I13" s="22"/>
      <c r="J13" s="22"/>
      <c r="K13" s="461" t="s">
        <v>885</v>
      </c>
      <c r="L13" s="317"/>
      <c r="M13" s="317"/>
      <c r="N13" s="512"/>
      <c r="O13" s="512"/>
      <c r="P13" s="512"/>
      <c r="Q13" s="512"/>
      <c r="R13" s="382"/>
      <c r="S13" s="513" t="s">
        <v>880</v>
      </c>
      <c r="T13" s="200"/>
      <c r="U13" s="514"/>
      <c r="V13" s="514"/>
      <c r="W13" s="514"/>
      <c r="X13" s="144"/>
      <c r="Y13" s="383"/>
      <c r="Z13" s="19"/>
      <c r="AA13" s="19"/>
    </row>
    <row r="14" spans="1:27" s="52" customFormat="1">
      <c r="A14" s="122"/>
      <c r="B14" s="53"/>
      <c r="C14" s="122"/>
      <c r="K14" s="45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52" customFormat="1">
      <c r="A15" s="122"/>
      <c r="B15" s="53"/>
      <c r="C15" s="122"/>
      <c r="K15" s="45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52" customFormat="1">
      <c r="A16" s="122"/>
      <c r="B16" s="53"/>
      <c r="C16" s="122"/>
      <c r="K16" s="45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2:52">
      <c r="B17" s="467" t="str">
        <f>HYPERLINK("#B60", "【記入例：B33】ハイパーリンク")</f>
        <v>【記入例：B33】ハイパーリンク</v>
      </c>
    </row>
    <row r="18" spans="2:52">
      <c r="B18" s="620" t="s">
        <v>20</v>
      </c>
      <c r="C18" s="116" t="s">
        <v>22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307" t="s">
        <v>949</v>
      </c>
      <c r="U18" s="306"/>
      <c r="V18" s="107"/>
      <c r="W18" s="116" t="s">
        <v>23</v>
      </c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307" t="s">
        <v>949</v>
      </c>
      <c r="AI18" s="115"/>
      <c r="AJ18" s="107"/>
      <c r="AK18" s="103" t="s">
        <v>31</v>
      </c>
      <c r="AL18" s="104"/>
      <c r="AM18" s="105"/>
    </row>
    <row r="19" spans="2:52" ht="54">
      <c r="B19" s="611"/>
      <c r="C19" s="117" t="s">
        <v>892</v>
      </c>
      <c r="D19" s="117" t="s">
        <v>940</v>
      </c>
      <c r="E19" s="117" t="s">
        <v>384</v>
      </c>
      <c r="F19" s="117" t="s">
        <v>383</v>
      </c>
      <c r="G19" s="102" t="s">
        <v>113</v>
      </c>
      <c r="H19" s="126" t="s">
        <v>1051</v>
      </c>
      <c r="I19" s="117" t="s">
        <v>386</v>
      </c>
      <c r="J19" s="117" t="s">
        <v>356</v>
      </c>
      <c r="K19" s="117" t="s">
        <v>355</v>
      </c>
      <c r="L19" s="117" t="s">
        <v>125</v>
      </c>
      <c r="M19" s="117" t="s">
        <v>231</v>
      </c>
      <c r="N19" s="117" t="s">
        <v>123</v>
      </c>
      <c r="O19" s="117" t="s">
        <v>99</v>
      </c>
      <c r="P19" s="117" t="s">
        <v>760</v>
      </c>
      <c r="Q19" s="117" t="s">
        <v>39</v>
      </c>
      <c r="R19" s="117" t="s">
        <v>752</v>
      </c>
      <c r="S19" s="117" t="s">
        <v>127</v>
      </c>
      <c r="T19" s="117" t="s">
        <v>128</v>
      </c>
      <c r="U19" s="117" t="s">
        <v>129</v>
      </c>
      <c r="V19" s="117" t="s">
        <v>1117</v>
      </c>
      <c r="W19" s="403" t="s">
        <v>892</v>
      </c>
      <c r="X19" s="403" t="s">
        <v>941</v>
      </c>
      <c r="Y19" s="403" t="s">
        <v>384</v>
      </c>
      <c r="Z19" s="404" t="s">
        <v>113</v>
      </c>
      <c r="AA19" s="403" t="s">
        <v>356</v>
      </c>
      <c r="AB19" s="403" t="s">
        <v>355</v>
      </c>
      <c r="AC19" s="403" t="s">
        <v>125</v>
      </c>
      <c r="AD19" s="403" t="s">
        <v>130</v>
      </c>
      <c r="AE19" s="403" t="s">
        <v>123</v>
      </c>
      <c r="AF19" s="403" t="s">
        <v>753</v>
      </c>
      <c r="AG19" s="403" t="s">
        <v>99</v>
      </c>
      <c r="AH19" s="403" t="s">
        <v>131</v>
      </c>
      <c r="AI19" s="403" t="s">
        <v>41</v>
      </c>
      <c r="AJ19" s="403" t="s">
        <v>1117</v>
      </c>
      <c r="AK19" s="403" t="s">
        <v>948</v>
      </c>
      <c r="AL19" s="403" t="s">
        <v>132</v>
      </c>
      <c r="AM19" s="403" t="s">
        <v>1049</v>
      </c>
    </row>
    <row r="20" spans="2:52" ht="18" customHeight="1">
      <c r="B20" s="100" t="s">
        <v>21</v>
      </c>
      <c r="C20" s="141"/>
      <c r="D20" s="402" t="s">
        <v>45</v>
      </c>
      <c r="E20" s="141"/>
      <c r="F20" s="402" t="s">
        <v>869</v>
      </c>
      <c r="G20" s="141"/>
      <c r="H20" s="141"/>
      <c r="I20" s="141"/>
      <c r="J20" s="141"/>
      <c r="K20" s="141"/>
      <c r="L20" s="402" t="s">
        <v>133</v>
      </c>
      <c r="M20" s="402" t="str">
        <f>"/(台・h)"</f>
        <v>/(台・h)</v>
      </c>
      <c r="N20" s="141"/>
      <c r="O20" s="402" t="s">
        <v>133</v>
      </c>
      <c r="P20" s="402" t="s">
        <v>46</v>
      </c>
      <c r="Q20" s="402" t="s">
        <v>47</v>
      </c>
      <c r="R20" s="402" t="s">
        <v>48</v>
      </c>
      <c r="S20" s="402" t="s">
        <v>134</v>
      </c>
      <c r="T20" s="402" t="str">
        <f>"/年"</f>
        <v>/年</v>
      </c>
      <c r="U20" s="101" t="s">
        <v>8</v>
      </c>
      <c r="V20" s="402" t="s">
        <v>29</v>
      </c>
      <c r="W20" s="141"/>
      <c r="X20" s="402" t="s">
        <v>45</v>
      </c>
      <c r="Y20" s="141"/>
      <c r="Z20" s="141"/>
      <c r="AA20" s="141"/>
      <c r="AB20" s="141"/>
      <c r="AC20" s="402" t="s">
        <v>133</v>
      </c>
      <c r="AD20" s="402" t="str">
        <f>"/(台・h)"</f>
        <v>/(台・h)</v>
      </c>
      <c r="AE20" s="141"/>
      <c r="AF20" s="402" t="s">
        <v>48</v>
      </c>
      <c r="AG20" s="402" t="s">
        <v>133</v>
      </c>
      <c r="AH20" s="402" t="str">
        <f>"/年"</f>
        <v>/年</v>
      </c>
      <c r="AI20" s="101" t="s">
        <v>8</v>
      </c>
      <c r="AJ20" s="402" t="s">
        <v>29</v>
      </c>
      <c r="AK20" s="402" t="str">
        <f>"/年"</f>
        <v>/年</v>
      </c>
      <c r="AL20" s="101" t="s">
        <v>8</v>
      </c>
      <c r="AM20" s="402" t="s">
        <v>761</v>
      </c>
      <c r="AO20" s="11" t="s">
        <v>22</v>
      </c>
      <c r="AP20" s="11"/>
      <c r="AQ20" s="11"/>
      <c r="AR20" s="11" t="s">
        <v>377</v>
      </c>
      <c r="AS20" s="11"/>
      <c r="AT20" s="11"/>
      <c r="AU20" s="11" t="s">
        <v>23</v>
      </c>
      <c r="AV20" s="11"/>
      <c r="AW20" s="11"/>
      <c r="AX20" s="11" t="s">
        <v>377</v>
      </c>
      <c r="AY20" s="11"/>
      <c r="AZ20" s="11"/>
    </row>
    <row r="21" spans="2:52">
      <c r="B21" s="114" t="s">
        <v>16</v>
      </c>
      <c r="C21" s="358"/>
      <c r="D21" s="359">
        <f>SUM(D22:D31)</f>
        <v>0</v>
      </c>
      <c r="E21" s="358"/>
      <c r="F21" s="358"/>
      <c r="G21" s="358"/>
      <c r="H21" s="360"/>
      <c r="I21" s="358"/>
      <c r="J21" s="358"/>
      <c r="K21" s="361"/>
      <c r="L21" s="358"/>
      <c r="M21" s="362"/>
      <c r="N21" s="360"/>
      <c r="O21" s="363"/>
      <c r="P21" s="360"/>
      <c r="Q21" s="360"/>
      <c r="R21" s="361"/>
      <c r="S21" s="364">
        <f>SUM(S22:S31)</f>
        <v>0</v>
      </c>
      <c r="T21" s="363"/>
      <c r="U21" s="365">
        <f>SUM(U22:U31)</f>
        <v>0</v>
      </c>
      <c r="V21" s="366">
        <f>SUM(V22:V31)</f>
        <v>0</v>
      </c>
      <c r="W21" s="360"/>
      <c r="X21" s="359">
        <f>SUM(X22:X31)</f>
        <v>0</v>
      </c>
      <c r="Y21" s="358"/>
      <c r="Z21" s="360"/>
      <c r="AA21" s="358"/>
      <c r="AB21" s="361"/>
      <c r="AC21" s="358"/>
      <c r="AD21" s="367"/>
      <c r="AE21" s="360"/>
      <c r="AF21" s="361"/>
      <c r="AG21" s="368"/>
      <c r="AH21" s="368"/>
      <c r="AI21" s="365">
        <f>SUM(AI22:AI31)</f>
        <v>0</v>
      </c>
      <c r="AJ21" s="366">
        <f>SUM(AJ22:AJ31)</f>
        <v>0</v>
      </c>
      <c r="AK21" s="368"/>
      <c r="AL21" s="369">
        <f>SUM(AL22:AL31)</f>
        <v>0</v>
      </c>
      <c r="AM21" s="370">
        <f>SUM(AM22:AM31)</f>
        <v>0</v>
      </c>
      <c r="AO21" s="258" t="s">
        <v>114</v>
      </c>
      <c r="AP21" s="11"/>
      <c r="AQ21" s="11" t="s">
        <v>120</v>
      </c>
      <c r="AR21" s="11" t="s">
        <v>115</v>
      </c>
      <c r="AS21" s="21" t="s">
        <v>121</v>
      </c>
      <c r="AT21" s="21" t="s">
        <v>135</v>
      </c>
      <c r="AU21" s="258" t="s">
        <v>114</v>
      </c>
      <c r="AV21" s="11"/>
      <c r="AW21" s="11" t="s">
        <v>120</v>
      </c>
      <c r="AX21" s="11" t="s">
        <v>115</v>
      </c>
      <c r="AY21" s="21" t="s">
        <v>121</v>
      </c>
      <c r="AZ21" s="21" t="s">
        <v>135</v>
      </c>
    </row>
    <row r="22" spans="2:52">
      <c r="B22" s="100" t="s">
        <v>136</v>
      </c>
      <c r="C22" s="1"/>
      <c r="D22" s="1"/>
      <c r="E22" s="4"/>
      <c r="F22" s="1"/>
      <c r="G22" s="31"/>
      <c r="H22" s="148" t="str">
        <f>IF(E22="給湯器（HP）",IF(F22="",1,MIN(1.5,(2025-F22)*0.02+1)),"ー")</f>
        <v>ー</v>
      </c>
      <c r="I22" s="148" t="str">
        <f t="shared" ref="I22:I31" si="0">IF(OR(E22="",E22="給湯器（HP）"),"ー",0.1)</f>
        <v>ー</v>
      </c>
      <c r="J22" s="179"/>
      <c r="K22" s="162"/>
      <c r="L22" s="310"/>
      <c r="M22" s="1"/>
      <c r="N22" s="149" t="str">
        <f t="shared" ref="N22:N31" si="1">AQ22</f>
        <v/>
      </c>
      <c r="O22" s="399"/>
      <c r="P22" s="1"/>
      <c r="Q22" s="1"/>
      <c r="R22" s="32">
        <f>P22*Q22</f>
        <v>0</v>
      </c>
      <c r="S22" s="185">
        <f t="shared" ref="S22:S31" si="2">IF(L22&gt;0,M22*L22*O22*AS22*D22,0)</f>
        <v>0</v>
      </c>
      <c r="T22" s="32">
        <f t="shared" ref="T22:T31" si="3">IF(R22=0,0,IF(E22="給湯器（HP）",M22*D22*R22*O22*H22,M22*D22*R22*O22/(1-I22)))</f>
        <v>0</v>
      </c>
      <c r="U22" s="58">
        <f t="shared" ref="U22:U31" si="4">T22*AO22</f>
        <v>0</v>
      </c>
      <c r="V22" s="189">
        <f t="shared" ref="V22:V31" si="5">(T22*$AS22)*0.0000258</f>
        <v>0</v>
      </c>
      <c r="W22" s="1"/>
      <c r="X22" s="1"/>
      <c r="Y22" s="4"/>
      <c r="Z22" s="31"/>
      <c r="AA22" s="179"/>
      <c r="AB22" s="162"/>
      <c r="AC22" s="310"/>
      <c r="AD22" s="187">
        <f t="shared" ref="AD22:AD31" si="6">IF(AC22&gt;0,S22/AY22/AC22/AG22/X22,0)</f>
        <v>0</v>
      </c>
      <c r="AE22" s="149" t="str">
        <f>AW22</f>
        <v/>
      </c>
      <c r="AF22" s="32">
        <f t="shared" ref="AF22:AF31" si="7">R22</f>
        <v>0</v>
      </c>
      <c r="AG22" s="607">
        <f>IF(OR(X22="",AA22=""),0,O22*(J22*D22)/(AA22*X22))</f>
        <v>0</v>
      </c>
      <c r="AH22" s="32">
        <f t="shared" ref="AH22:AH31" si="8">AD22*X22*AF22*AG22</f>
        <v>0</v>
      </c>
      <c r="AI22" s="58">
        <f>AH22*AU22</f>
        <v>0</v>
      </c>
      <c r="AJ22" s="189">
        <f>(AH22*$AY22)*0.0000258</f>
        <v>0</v>
      </c>
      <c r="AK22" s="189">
        <f>T22-AH22</f>
        <v>0</v>
      </c>
      <c r="AL22" s="304">
        <f>U22-AI22</f>
        <v>0</v>
      </c>
      <c r="AM22" s="305">
        <f>V22-AJ22</f>
        <v>0</v>
      </c>
      <c r="AO22" s="11">
        <f>IFERROR(VLOOKUP(G22,係数!$B$3:$I$30,7,FALSE),0)</f>
        <v>0</v>
      </c>
      <c r="AP22" s="11" t="str">
        <f>IFERROR(VLOOKUP(G22,係数!$B$3:$I$30,8,FALSE),"")</f>
        <v/>
      </c>
      <c r="AQ22" s="11" t="str">
        <f>IFERROR(VLOOKUP(G22,係数!$B$3:$I$30,4,FALSE),"")</f>
        <v/>
      </c>
      <c r="AR22" s="11">
        <f>IFERROR(VLOOKUP(G22,エネルギー使用量!$C$6:$I$10,7,FALSE),0)</f>
        <v>0</v>
      </c>
      <c r="AS22" s="11">
        <f>IFERROR(VLOOKUP(G22,係数!$B$3:$I$30,2,FALSE),0)</f>
        <v>0</v>
      </c>
      <c r="AT22" s="11">
        <f t="shared" ref="AT22:AT31" si="9">IF(G22="電気",3.6,AS22)</f>
        <v>0</v>
      </c>
      <c r="AU22" s="11">
        <f>IFERROR(VLOOKUP(Z22,係数!$B$3:$I$30,7,FALSE),0)</f>
        <v>0</v>
      </c>
      <c r="AV22" s="11" t="str">
        <f>IFERROR(VLOOKUP(Z22,係数!$B$3:$I$30,8,FALSE),"")</f>
        <v/>
      </c>
      <c r="AW22" s="11" t="str">
        <f>IFERROR(VLOOKUP(Z22,係数!$B$3:$I$30,4,FALSE),"")</f>
        <v/>
      </c>
      <c r="AX22" s="11">
        <f>IFERROR(VLOOKUP(Z22,エネルギー使用量!$C$6:$I$10,7,FALSE),0)</f>
        <v>0</v>
      </c>
      <c r="AY22" s="11">
        <f>IFERROR(VLOOKUP(Z22,係数!$B$3:$I$30,2,FALSE),0)</f>
        <v>0</v>
      </c>
      <c r="AZ22" s="11">
        <f t="shared" ref="AZ22:AZ31" si="10">IF(Z22="電気",3.6,AY22)</f>
        <v>0</v>
      </c>
    </row>
    <row r="23" spans="2:52">
      <c r="B23" s="100" t="s">
        <v>137</v>
      </c>
      <c r="C23" s="1"/>
      <c r="D23" s="1"/>
      <c r="E23" s="4"/>
      <c r="F23" s="1"/>
      <c r="G23" s="31"/>
      <c r="H23" s="148" t="str">
        <f t="shared" ref="H23:H31" si="11">IF(E23="給湯器（HP）",IF(F23="",1,MIN(1.5,(2025-F23)*0.02+1)),"ー")</f>
        <v>ー</v>
      </c>
      <c r="I23" s="148" t="str">
        <f t="shared" si="0"/>
        <v>ー</v>
      </c>
      <c r="J23" s="179"/>
      <c r="K23" s="162"/>
      <c r="L23" s="310"/>
      <c r="M23" s="1"/>
      <c r="N23" s="149" t="str">
        <f t="shared" si="1"/>
        <v/>
      </c>
      <c r="O23" s="399"/>
      <c r="P23" s="1"/>
      <c r="Q23" s="1"/>
      <c r="R23" s="32">
        <f t="shared" ref="R23:R31" si="12">P23*Q23</f>
        <v>0</v>
      </c>
      <c r="S23" s="185">
        <f t="shared" si="2"/>
        <v>0</v>
      </c>
      <c r="T23" s="32">
        <f t="shared" si="3"/>
        <v>0</v>
      </c>
      <c r="U23" s="58">
        <f t="shared" si="4"/>
        <v>0</v>
      </c>
      <c r="V23" s="189">
        <f t="shared" si="5"/>
        <v>0</v>
      </c>
      <c r="W23" s="1"/>
      <c r="X23" s="1"/>
      <c r="Y23" s="4"/>
      <c r="Z23" s="31"/>
      <c r="AA23" s="179"/>
      <c r="AB23" s="162"/>
      <c r="AC23" s="310"/>
      <c r="AD23" s="187">
        <f t="shared" si="6"/>
        <v>0</v>
      </c>
      <c r="AE23" s="149" t="str">
        <f t="shared" ref="AE23:AE31" si="13">AW23</f>
        <v/>
      </c>
      <c r="AF23" s="32">
        <f t="shared" si="7"/>
        <v>0</v>
      </c>
      <c r="AG23" s="607">
        <f t="shared" ref="AG23:AG31" si="14">IF(OR(X23="",AA23=""),0,O23*(J23*D23)/(AA23*X23))</f>
        <v>0</v>
      </c>
      <c r="AH23" s="32">
        <f t="shared" si="8"/>
        <v>0</v>
      </c>
      <c r="AI23" s="58">
        <f t="shared" ref="AI23:AI31" si="15">AH23*AU23</f>
        <v>0</v>
      </c>
      <c r="AJ23" s="189">
        <f t="shared" ref="AJ23:AJ31" si="16">(AH23*$AY23)*0.0000258</f>
        <v>0</v>
      </c>
      <c r="AK23" s="189">
        <f t="shared" ref="AK23:AK31" si="17">T23-AH23</f>
        <v>0</v>
      </c>
      <c r="AL23" s="304">
        <f t="shared" ref="AL23:AL31" si="18">U23-AI23</f>
        <v>0</v>
      </c>
      <c r="AM23" s="305">
        <f t="shared" ref="AM23:AM31" si="19">V23-AJ23</f>
        <v>0</v>
      </c>
      <c r="AO23" s="11">
        <f>IFERROR(VLOOKUP(G23,係数!$B$3:$I$30,7,FALSE),0)</f>
        <v>0</v>
      </c>
      <c r="AP23" s="11" t="str">
        <f>IFERROR(VLOOKUP(G23,係数!$B$3:$I$30,8,FALSE),"")</f>
        <v/>
      </c>
      <c r="AQ23" s="11" t="str">
        <f>IFERROR(VLOOKUP(G23,係数!$B$3:$I$30,4,FALSE),"")</f>
        <v/>
      </c>
      <c r="AR23" s="11">
        <f>IFERROR(VLOOKUP(G23,エネルギー使用量!$C$6:$I$10,7,FALSE),0)</f>
        <v>0</v>
      </c>
      <c r="AS23" s="11">
        <f>IFERROR(VLOOKUP(G23,係数!$B$3:$I$30,2,FALSE),0)</f>
        <v>0</v>
      </c>
      <c r="AT23" s="11">
        <f t="shared" si="9"/>
        <v>0</v>
      </c>
      <c r="AU23" s="11">
        <f>IFERROR(VLOOKUP(Z23,係数!$B$3:$I$30,7,FALSE),0)</f>
        <v>0</v>
      </c>
      <c r="AV23" s="11" t="str">
        <f>IFERROR(VLOOKUP(Z23,係数!$B$3:$I$30,8,FALSE),"")</f>
        <v/>
      </c>
      <c r="AW23" s="11" t="str">
        <f>IFERROR(VLOOKUP(Z23,係数!$B$3:$I$30,4,FALSE),"")</f>
        <v/>
      </c>
      <c r="AX23" s="11">
        <f>IFERROR(VLOOKUP(Z23,エネルギー使用量!$C$6:$I$10,7,FALSE),0)</f>
        <v>0</v>
      </c>
      <c r="AY23" s="11">
        <f>IFERROR(VLOOKUP(Z23,係数!$B$3:$I$30,2,FALSE),0)</f>
        <v>0</v>
      </c>
      <c r="AZ23" s="11">
        <f t="shared" si="10"/>
        <v>0</v>
      </c>
    </row>
    <row r="24" spans="2:52">
      <c r="B24" s="100" t="s">
        <v>138</v>
      </c>
      <c r="C24" s="1"/>
      <c r="D24" s="1"/>
      <c r="E24" s="4"/>
      <c r="F24" s="1"/>
      <c r="G24" s="31"/>
      <c r="H24" s="148" t="str">
        <f t="shared" si="11"/>
        <v>ー</v>
      </c>
      <c r="I24" s="148" t="str">
        <f t="shared" si="0"/>
        <v>ー</v>
      </c>
      <c r="J24" s="179"/>
      <c r="K24" s="162"/>
      <c r="L24" s="310"/>
      <c r="M24" s="1"/>
      <c r="N24" s="149" t="str">
        <f t="shared" si="1"/>
        <v/>
      </c>
      <c r="O24" s="399"/>
      <c r="P24" s="1"/>
      <c r="Q24" s="1"/>
      <c r="R24" s="32">
        <f t="shared" si="12"/>
        <v>0</v>
      </c>
      <c r="S24" s="185">
        <f t="shared" si="2"/>
        <v>0</v>
      </c>
      <c r="T24" s="32">
        <f t="shared" si="3"/>
        <v>0</v>
      </c>
      <c r="U24" s="58">
        <f t="shared" si="4"/>
        <v>0</v>
      </c>
      <c r="V24" s="189">
        <f t="shared" si="5"/>
        <v>0</v>
      </c>
      <c r="W24" s="1"/>
      <c r="X24" s="1"/>
      <c r="Y24" s="4"/>
      <c r="Z24" s="31"/>
      <c r="AA24" s="179"/>
      <c r="AB24" s="162"/>
      <c r="AC24" s="310"/>
      <c r="AD24" s="187">
        <f t="shared" si="6"/>
        <v>0</v>
      </c>
      <c r="AE24" s="149" t="str">
        <f t="shared" si="13"/>
        <v/>
      </c>
      <c r="AF24" s="32">
        <f t="shared" si="7"/>
        <v>0</v>
      </c>
      <c r="AG24" s="607">
        <f t="shared" si="14"/>
        <v>0</v>
      </c>
      <c r="AH24" s="32">
        <f t="shared" si="8"/>
        <v>0</v>
      </c>
      <c r="AI24" s="58">
        <f t="shared" si="15"/>
        <v>0</v>
      </c>
      <c r="AJ24" s="189">
        <f t="shared" si="16"/>
        <v>0</v>
      </c>
      <c r="AK24" s="189">
        <f t="shared" si="17"/>
        <v>0</v>
      </c>
      <c r="AL24" s="304">
        <f t="shared" si="18"/>
        <v>0</v>
      </c>
      <c r="AM24" s="305">
        <f t="shared" si="19"/>
        <v>0</v>
      </c>
      <c r="AO24" s="11">
        <f>IFERROR(VLOOKUP(G24,係数!$B$3:$I$30,7,FALSE),0)</f>
        <v>0</v>
      </c>
      <c r="AP24" s="11" t="str">
        <f>IFERROR(VLOOKUP(G24,係数!$B$3:$I$30,8,FALSE),"")</f>
        <v/>
      </c>
      <c r="AQ24" s="11" t="str">
        <f>IFERROR(VLOOKUP(G24,係数!$B$3:$I$30,4,FALSE),"")</f>
        <v/>
      </c>
      <c r="AR24" s="11">
        <f>IFERROR(VLOOKUP(G24,エネルギー使用量!$C$6:$I$10,7,FALSE),0)</f>
        <v>0</v>
      </c>
      <c r="AS24" s="11">
        <f>IFERROR(VLOOKUP(G24,係数!$B$3:$I$30,2,FALSE),0)</f>
        <v>0</v>
      </c>
      <c r="AT24" s="11">
        <f t="shared" si="9"/>
        <v>0</v>
      </c>
      <c r="AU24" s="11">
        <f>IFERROR(VLOOKUP(Z24,係数!$B$3:$I$30,7,FALSE),0)</f>
        <v>0</v>
      </c>
      <c r="AV24" s="11" t="str">
        <f>IFERROR(VLOOKUP(Z24,係数!$B$3:$I$30,8,FALSE),"")</f>
        <v/>
      </c>
      <c r="AW24" s="11" t="str">
        <f>IFERROR(VLOOKUP(Z24,係数!$B$3:$I$30,4,FALSE),"")</f>
        <v/>
      </c>
      <c r="AX24" s="11">
        <f>IFERROR(VLOOKUP(Z24,エネルギー使用量!$C$6:$I$10,7,FALSE),0)</f>
        <v>0</v>
      </c>
      <c r="AY24" s="11">
        <f>IFERROR(VLOOKUP(Z24,係数!$B$3:$I$30,2,FALSE),0)</f>
        <v>0</v>
      </c>
      <c r="AZ24" s="11">
        <f t="shared" si="10"/>
        <v>0</v>
      </c>
    </row>
    <row r="25" spans="2:52">
      <c r="B25" s="100" t="s">
        <v>139</v>
      </c>
      <c r="C25" s="1"/>
      <c r="D25" s="1"/>
      <c r="E25" s="4"/>
      <c r="F25" s="1"/>
      <c r="G25" s="31"/>
      <c r="H25" s="148" t="str">
        <f t="shared" si="11"/>
        <v>ー</v>
      </c>
      <c r="I25" s="148" t="str">
        <f t="shared" si="0"/>
        <v>ー</v>
      </c>
      <c r="J25" s="179"/>
      <c r="K25" s="162"/>
      <c r="L25" s="310"/>
      <c r="M25" s="1"/>
      <c r="N25" s="149" t="str">
        <f t="shared" si="1"/>
        <v/>
      </c>
      <c r="O25" s="399"/>
      <c r="P25" s="1"/>
      <c r="Q25" s="1"/>
      <c r="R25" s="32">
        <f t="shared" si="12"/>
        <v>0</v>
      </c>
      <c r="S25" s="185">
        <f t="shared" si="2"/>
        <v>0</v>
      </c>
      <c r="T25" s="32">
        <f t="shared" si="3"/>
        <v>0</v>
      </c>
      <c r="U25" s="58">
        <f t="shared" si="4"/>
        <v>0</v>
      </c>
      <c r="V25" s="189">
        <f t="shared" si="5"/>
        <v>0</v>
      </c>
      <c r="W25" s="1"/>
      <c r="X25" s="1"/>
      <c r="Y25" s="4"/>
      <c r="Z25" s="31"/>
      <c r="AA25" s="179"/>
      <c r="AB25" s="162"/>
      <c r="AC25" s="310"/>
      <c r="AD25" s="187">
        <f t="shared" si="6"/>
        <v>0</v>
      </c>
      <c r="AE25" s="149" t="str">
        <f t="shared" si="13"/>
        <v/>
      </c>
      <c r="AF25" s="32">
        <f t="shared" si="7"/>
        <v>0</v>
      </c>
      <c r="AG25" s="607">
        <f t="shared" si="14"/>
        <v>0</v>
      </c>
      <c r="AH25" s="32">
        <f t="shared" si="8"/>
        <v>0</v>
      </c>
      <c r="AI25" s="58">
        <f t="shared" si="15"/>
        <v>0</v>
      </c>
      <c r="AJ25" s="189">
        <f t="shared" si="16"/>
        <v>0</v>
      </c>
      <c r="AK25" s="189">
        <f t="shared" si="17"/>
        <v>0</v>
      </c>
      <c r="AL25" s="304">
        <f t="shared" si="18"/>
        <v>0</v>
      </c>
      <c r="AM25" s="305">
        <f t="shared" si="19"/>
        <v>0</v>
      </c>
      <c r="AO25" s="11">
        <f>IFERROR(VLOOKUP(G25,係数!$B$3:$I$30,7,FALSE),0)</f>
        <v>0</v>
      </c>
      <c r="AP25" s="11" t="str">
        <f>IFERROR(VLOOKUP(G25,係数!$B$3:$I$30,8,FALSE),"")</f>
        <v/>
      </c>
      <c r="AQ25" s="11" t="str">
        <f>IFERROR(VLOOKUP(G25,係数!$B$3:$I$30,4,FALSE),"")</f>
        <v/>
      </c>
      <c r="AR25" s="11">
        <f>IFERROR(VLOOKUP(G25,エネルギー使用量!$C$6:$I$10,7,FALSE),0)</f>
        <v>0</v>
      </c>
      <c r="AS25" s="11">
        <f>IFERROR(VLOOKUP(G25,係数!$B$3:$I$30,2,FALSE),0)</f>
        <v>0</v>
      </c>
      <c r="AT25" s="11">
        <f t="shared" si="9"/>
        <v>0</v>
      </c>
      <c r="AU25" s="11">
        <f>IFERROR(VLOOKUP(Z25,係数!$B$3:$I$30,7,FALSE),0)</f>
        <v>0</v>
      </c>
      <c r="AV25" s="11" t="str">
        <f>IFERROR(VLOOKUP(Z25,係数!$B$3:$I$30,8,FALSE),"")</f>
        <v/>
      </c>
      <c r="AW25" s="11" t="str">
        <f>IFERROR(VLOOKUP(Z25,係数!$B$3:$I$30,4,FALSE),"")</f>
        <v/>
      </c>
      <c r="AX25" s="11">
        <f>IFERROR(VLOOKUP(Z25,エネルギー使用量!$C$6:$I$10,7,FALSE),0)</f>
        <v>0</v>
      </c>
      <c r="AY25" s="11">
        <f>IFERROR(VLOOKUP(Z25,係数!$B$3:$I$30,2,FALSE),0)</f>
        <v>0</v>
      </c>
      <c r="AZ25" s="11">
        <f t="shared" si="10"/>
        <v>0</v>
      </c>
    </row>
    <row r="26" spans="2:52">
      <c r="B26" s="100" t="s">
        <v>140</v>
      </c>
      <c r="C26" s="1"/>
      <c r="D26" s="1"/>
      <c r="E26" s="4"/>
      <c r="F26" s="1"/>
      <c r="G26" s="31"/>
      <c r="H26" s="148" t="str">
        <f t="shared" si="11"/>
        <v>ー</v>
      </c>
      <c r="I26" s="148" t="str">
        <f t="shared" si="0"/>
        <v>ー</v>
      </c>
      <c r="J26" s="179"/>
      <c r="K26" s="162"/>
      <c r="L26" s="310"/>
      <c r="M26" s="1"/>
      <c r="N26" s="149" t="str">
        <f t="shared" si="1"/>
        <v/>
      </c>
      <c r="O26" s="399"/>
      <c r="P26" s="1"/>
      <c r="Q26" s="1"/>
      <c r="R26" s="32">
        <f t="shared" si="12"/>
        <v>0</v>
      </c>
      <c r="S26" s="185">
        <f t="shared" si="2"/>
        <v>0</v>
      </c>
      <c r="T26" s="32">
        <f t="shared" si="3"/>
        <v>0</v>
      </c>
      <c r="U26" s="58">
        <f t="shared" si="4"/>
        <v>0</v>
      </c>
      <c r="V26" s="189">
        <f t="shared" si="5"/>
        <v>0</v>
      </c>
      <c r="W26" s="1"/>
      <c r="X26" s="1"/>
      <c r="Y26" s="4"/>
      <c r="Z26" s="31"/>
      <c r="AA26" s="179"/>
      <c r="AB26" s="162"/>
      <c r="AC26" s="310"/>
      <c r="AD26" s="187">
        <f t="shared" si="6"/>
        <v>0</v>
      </c>
      <c r="AE26" s="149" t="str">
        <f t="shared" si="13"/>
        <v/>
      </c>
      <c r="AF26" s="32">
        <f t="shared" si="7"/>
        <v>0</v>
      </c>
      <c r="AG26" s="607">
        <f t="shared" si="14"/>
        <v>0</v>
      </c>
      <c r="AH26" s="32">
        <f t="shared" si="8"/>
        <v>0</v>
      </c>
      <c r="AI26" s="58">
        <f t="shared" si="15"/>
        <v>0</v>
      </c>
      <c r="AJ26" s="189">
        <f t="shared" si="16"/>
        <v>0</v>
      </c>
      <c r="AK26" s="189">
        <f t="shared" si="17"/>
        <v>0</v>
      </c>
      <c r="AL26" s="304">
        <f t="shared" si="18"/>
        <v>0</v>
      </c>
      <c r="AM26" s="305">
        <f t="shared" si="19"/>
        <v>0</v>
      </c>
      <c r="AO26" s="11">
        <f>IFERROR(VLOOKUP(G26,係数!$B$3:$I$30,7,FALSE),0)</f>
        <v>0</v>
      </c>
      <c r="AP26" s="11" t="str">
        <f>IFERROR(VLOOKUP(G26,係数!$B$3:$I$30,8,FALSE),"")</f>
        <v/>
      </c>
      <c r="AQ26" s="11" t="str">
        <f>IFERROR(VLOOKUP(G26,係数!$B$3:$I$30,4,FALSE),"")</f>
        <v/>
      </c>
      <c r="AR26" s="11">
        <f>IFERROR(VLOOKUP(G26,エネルギー使用量!$C$6:$I$10,7,FALSE),0)</f>
        <v>0</v>
      </c>
      <c r="AS26" s="11">
        <f>IFERROR(VLOOKUP(G26,係数!$B$3:$I$30,2,FALSE),0)</f>
        <v>0</v>
      </c>
      <c r="AT26" s="11">
        <f t="shared" si="9"/>
        <v>0</v>
      </c>
      <c r="AU26" s="11">
        <f>IFERROR(VLOOKUP(Z26,係数!$B$3:$I$30,7,FALSE),0)</f>
        <v>0</v>
      </c>
      <c r="AV26" s="11" t="str">
        <f>IFERROR(VLOOKUP(Z26,係数!$B$3:$I$30,8,FALSE),"")</f>
        <v/>
      </c>
      <c r="AW26" s="11" t="str">
        <f>IFERROR(VLOOKUP(Z26,係数!$B$3:$I$30,4,FALSE),"")</f>
        <v/>
      </c>
      <c r="AX26" s="11">
        <f>IFERROR(VLOOKUP(Z26,エネルギー使用量!$C$6:$I$10,7,FALSE),0)</f>
        <v>0</v>
      </c>
      <c r="AY26" s="11">
        <f>IFERROR(VLOOKUP(Z26,係数!$B$3:$I$30,2,FALSE),0)</f>
        <v>0</v>
      </c>
      <c r="AZ26" s="11">
        <f t="shared" si="10"/>
        <v>0</v>
      </c>
    </row>
    <row r="27" spans="2:52">
      <c r="B27" s="100" t="s">
        <v>141</v>
      </c>
      <c r="C27" s="1"/>
      <c r="D27" s="1"/>
      <c r="E27" s="4"/>
      <c r="F27" s="1"/>
      <c r="G27" s="31"/>
      <c r="H27" s="148" t="str">
        <f t="shared" si="11"/>
        <v>ー</v>
      </c>
      <c r="I27" s="148" t="str">
        <f t="shared" si="0"/>
        <v>ー</v>
      </c>
      <c r="J27" s="179"/>
      <c r="K27" s="162"/>
      <c r="L27" s="310"/>
      <c r="M27" s="1"/>
      <c r="N27" s="149" t="str">
        <f t="shared" si="1"/>
        <v/>
      </c>
      <c r="O27" s="399"/>
      <c r="P27" s="1"/>
      <c r="Q27" s="1"/>
      <c r="R27" s="32">
        <f t="shared" si="12"/>
        <v>0</v>
      </c>
      <c r="S27" s="185">
        <f t="shared" si="2"/>
        <v>0</v>
      </c>
      <c r="T27" s="32">
        <f t="shared" si="3"/>
        <v>0</v>
      </c>
      <c r="U27" s="58">
        <f t="shared" si="4"/>
        <v>0</v>
      </c>
      <c r="V27" s="189">
        <f t="shared" si="5"/>
        <v>0</v>
      </c>
      <c r="W27" s="1"/>
      <c r="X27" s="1"/>
      <c r="Y27" s="4"/>
      <c r="Z27" s="31"/>
      <c r="AA27" s="179"/>
      <c r="AB27" s="162"/>
      <c r="AC27" s="310"/>
      <c r="AD27" s="187">
        <f t="shared" si="6"/>
        <v>0</v>
      </c>
      <c r="AE27" s="149" t="str">
        <f t="shared" si="13"/>
        <v/>
      </c>
      <c r="AF27" s="32">
        <f t="shared" si="7"/>
        <v>0</v>
      </c>
      <c r="AG27" s="607">
        <f t="shared" si="14"/>
        <v>0</v>
      </c>
      <c r="AH27" s="32">
        <f t="shared" si="8"/>
        <v>0</v>
      </c>
      <c r="AI27" s="58">
        <f t="shared" si="15"/>
        <v>0</v>
      </c>
      <c r="AJ27" s="189">
        <f t="shared" si="16"/>
        <v>0</v>
      </c>
      <c r="AK27" s="189">
        <f t="shared" si="17"/>
        <v>0</v>
      </c>
      <c r="AL27" s="304">
        <f t="shared" si="18"/>
        <v>0</v>
      </c>
      <c r="AM27" s="305">
        <f t="shared" si="19"/>
        <v>0</v>
      </c>
      <c r="AO27" s="11">
        <f>IFERROR(VLOOKUP(G27,係数!$B$3:$I$30,7,FALSE),0)</f>
        <v>0</v>
      </c>
      <c r="AP27" s="11" t="str">
        <f>IFERROR(VLOOKUP(G27,係数!$B$3:$I$30,8,FALSE),"")</f>
        <v/>
      </c>
      <c r="AQ27" s="11" t="str">
        <f>IFERROR(VLOOKUP(G27,係数!$B$3:$I$30,4,FALSE),"")</f>
        <v/>
      </c>
      <c r="AR27" s="11">
        <f>IFERROR(VLOOKUP(G27,エネルギー使用量!$C$6:$I$10,7,FALSE),0)</f>
        <v>0</v>
      </c>
      <c r="AS27" s="11">
        <f>IFERROR(VLOOKUP(G27,係数!$B$3:$I$30,2,FALSE),0)</f>
        <v>0</v>
      </c>
      <c r="AT27" s="11">
        <f t="shared" si="9"/>
        <v>0</v>
      </c>
      <c r="AU27" s="11">
        <f>IFERROR(VLOOKUP(Z27,係数!$B$3:$I$30,7,FALSE),0)</f>
        <v>0</v>
      </c>
      <c r="AV27" s="11" t="str">
        <f>IFERROR(VLOOKUP(Z27,係数!$B$3:$I$30,8,FALSE),"")</f>
        <v/>
      </c>
      <c r="AW27" s="11" t="str">
        <f>IFERROR(VLOOKUP(Z27,係数!$B$3:$I$30,4,FALSE),"")</f>
        <v/>
      </c>
      <c r="AX27" s="11">
        <f>IFERROR(VLOOKUP(Z27,エネルギー使用量!$C$6:$I$10,7,FALSE),0)</f>
        <v>0</v>
      </c>
      <c r="AY27" s="11">
        <f>IFERROR(VLOOKUP(Z27,係数!$B$3:$I$30,2,FALSE),0)</f>
        <v>0</v>
      </c>
      <c r="AZ27" s="11">
        <f t="shared" si="10"/>
        <v>0</v>
      </c>
    </row>
    <row r="28" spans="2:52">
      <c r="B28" s="100" t="s">
        <v>142</v>
      </c>
      <c r="C28" s="1"/>
      <c r="D28" s="1"/>
      <c r="E28" s="4"/>
      <c r="F28" s="1"/>
      <c r="G28" s="31"/>
      <c r="H28" s="148" t="str">
        <f t="shared" si="11"/>
        <v>ー</v>
      </c>
      <c r="I28" s="148" t="str">
        <f t="shared" si="0"/>
        <v>ー</v>
      </c>
      <c r="J28" s="179"/>
      <c r="K28" s="162"/>
      <c r="L28" s="310"/>
      <c r="M28" s="1"/>
      <c r="N28" s="149" t="str">
        <f t="shared" si="1"/>
        <v/>
      </c>
      <c r="O28" s="399"/>
      <c r="P28" s="1"/>
      <c r="Q28" s="1"/>
      <c r="R28" s="32">
        <f t="shared" si="12"/>
        <v>0</v>
      </c>
      <c r="S28" s="185">
        <f t="shared" si="2"/>
        <v>0</v>
      </c>
      <c r="T28" s="32">
        <f t="shared" si="3"/>
        <v>0</v>
      </c>
      <c r="U28" s="58">
        <f t="shared" si="4"/>
        <v>0</v>
      </c>
      <c r="V28" s="189">
        <f t="shared" si="5"/>
        <v>0</v>
      </c>
      <c r="W28" s="1"/>
      <c r="X28" s="1"/>
      <c r="Y28" s="4"/>
      <c r="Z28" s="31"/>
      <c r="AA28" s="179"/>
      <c r="AB28" s="162"/>
      <c r="AC28" s="310"/>
      <c r="AD28" s="187">
        <f t="shared" si="6"/>
        <v>0</v>
      </c>
      <c r="AE28" s="149" t="str">
        <f t="shared" si="13"/>
        <v/>
      </c>
      <c r="AF28" s="32">
        <f t="shared" si="7"/>
        <v>0</v>
      </c>
      <c r="AG28" s="607">
        <f t="shared" si="14"/>
        <v>0</v>
      </c>
      <c r="AH28" s="32">
        <f t="shared" si="8"/>
        <v>0</v>
      </c>
      <c r="AI28" s="58">
        <f t="shared" si="15"/>
        <v>0</v>
      </c>
      <c r="AJ28" s="189">
        <f t="shared" si="16"/>
        <v>0</v>
      </c>
      <c r="AK28" s="189">
        <f t="shared" si="17"/>
        <v>0</v>
      </c>
      <c r="AL28" s="304">
        <f t="shared" si="18"/>
        <v>0</v>
      </c>
      <c r="AM28" s="305">
        <f t="shared" si="19"/>
        <v>0</v>
      </c>
      <c r="AO28" s="11">
        <f>IFERROR(VLOOKUP(G28,係数!$B$3:$I$30,7,FALSE),0)</f>
        <v>0</v>
      </c>
      <c r="AP28" s="11" t="str">
        <f>IFERROR(VLOOKUP(G28,係数!$B$3:$I$30,8,FALSE),"")</f>
        <v/>
      </c>
      <c r="AQ28" s="11" t="str">
        <f>IFERROR(VLOOKUP(G28,係数!$B$3:$I$30,4,FALSE),"")</f>
        <v/>
      </c>
      <c r="AR28" s="11">
        <f>IFERROR(VLOOKUP(G28,エネルギー使用量!$C$6:$I$10,7,FALSE),0)</f>
        <v>0</v>
      </c>
      <c r="AS28" s="11">
        <f>IFERROR(VLOOKUP(G28,係数!$B$3:$I$30,2,FALSE),0)</f>
        <v>0</v>
      </c>
      <c r="AT28" s="11">
        <f t="shared" si="9"/>
        <v>0</v>
      </c>
      <c r="AU28" s="11">
        <f>IFERROR(VLOOKUP(Z28,係数!$B$3:$I$30,7,FALSE),0)</f>
        <v>0</v>
      </c>
      <c r="AV28" s="11" t="str">
        <f>IFERROR(VLOOKUP(Z28,係数!$B$3:$I$30,8,FALSE),"")</f>
        <v/>
      </c>
      <c r="AW28" s="11" t="str">
        <f>IFERROR(VLOOKUP(Z28,係数!$B$3:$I$30,4,FALSE),"")</f>
        <v/>
      </c>
      <c r="AX28" s="11">
        <f>IFERROR(VLOOKUP(Z28,エネルギー使用量!$C$6:$I$10,7,FALSE),0)</f>
        <v>0</v>
      </c>
      <c r="AY28" s="11">
        <f>IFERROR(VLOOKUP(Z28,係数!$B$3:$I$30,2,FALSE),0)</f>
        <v>0</v>
      </c>
      <c r="AZ28" s="11">
        <f t="shared" si="10"/>
        <v>0</v>
      </c>
    </row>
    <row r="29" spans="2:52">
      <c r="B29" s="100" t="s">
        <v>143</v>
      </c>
      <c r="C29" s="1"/>
      <c r="D29" s="1"/>
      <c r="E29" s="4"/>
      <c r="F29" s="1"/>
      <c r="G29" s="31"/>
      <c r="H29" s="148" t="str">
        <f t="shared" si="11"/>
        <v>ー</v>
      </c>
      <c r="I29" s="148" t="str">
        <f t="shared" si="0"/>
        <v>ー</v>
      </c>
      <c r="J29" s="179"/>
      <c r="K29" s="162"/>
      <c r="L29" s="310"/>
      <c r="M29" s="1"/>
      <c r="N29" s="149" t="str">
        <f t="shared" si="1"/>
        <v/>
      </c>
      <c r="O29" s="399"/>
      <c r="P29" s="1"/>
      <c r="Q29" s="1"/>
      <c r="R29" s="32">
        <f t="shared" si="12"/>
        <v>0</v>
      </c>
      <c r="S29" s="185">
        <f t="shared" si="2"/>
        <v>0</v>
      </c>
      <c r="T29" s="32">
        <f t="shared" si="3"/>
        <v>0</v>
      </c>
      <c r="U29" s="58">
        <f t="shared" si="4"/>
        <v>0</v>
      </c>
      <c r="V29" s="189">
        <f t="shared" si="5"/>
        <v>0</v>
      </c>
      <c r="W29" s="1"/>
      <c r="X29" s="1"/>
      <c r="Y29" s="4"/>
      <c r="Z29" s="31"/>
      <c r="AA29" s="179"/>
      <c r="AB29" s="162"/>
      <c r="AC29" s="310"/>
      <c r="AD29" s="187">
        <f t="shared" si="6"/>
        <v>0</v>
      </c>
      <c r="AE29" s="149" t="str">
        <f t="shared" si="13"/>
        <v/>
      </c>
      <c r="AF29" s="32">
        <f t="shared" si="7"/>
        <v>0</v>
      </c>
      <c r="AG29" s="607">
        <f t="shared" si="14"/>
        <v>0</v>
      </c>
      <c r="AH29" s="32">
        <f t="shared" si="8"/>
        <v>0</v>
      </c>
      <c r="AI29" s="58">
        <f t="shared" si="15"/>
        <v>0</v>
      </c>
      <c r="AJ29" s="189">
        <f t="shared" si="16"/>
        <v>0</v>
      </c>
      <c r="AK29" s="189">
        <f t="shared" si="17"/>
        <v>0</v>
      </c>
      <c r="AL29" s="304">
        <f t="shared" si="18"/>
        <v>0</v>
      </c>
      <c r="AM29" s="305">
        <f t="shared" si="19"/>
        <v>0</v>
      </c>
      <c r="AO29" s="11">
        <f>IFERROR(VLOOKUP(G29,係数!$B$3:$I$30,7,FALSE),0)</f>
        <v>0</v>
      </c>
      <c r="AP29" s="11" t="str">
        <f>IFERROR(VLOOKUP(G29,係数!$B$3:$I$30,8,FALSE),"")</f>
        <v/>
      </c>
      <c r="AQ29" s="11" t="str">
        <f>IFERROR(VLOOKUP(G29,係数!$B$3:$I$30,4,FALSE),"")</f>
        <v/>
      </c>
      <c r="AR29" s="11">
        <f>IFERROR(VLOOKUP(G29,エネルギー使用量!$C$6:$I$10,7,FALSE),0)</f>
        <v>0</v>
      </c>
      <c r="AS29" s="11">
        <f>IFERROR(VLOOKUP(G29,係数!$B$3:$I$30,2,FALSE),0)</f>
        <v>0</v>
      </c>
      <c r="AT29" s="11">
        <f t="shared" si="9"/>
        <v>0</v>
      </c>
      <c r="AU29" s="11">
        <f>IFERROR(VLOOKUP(Z29,係数!$B$3:$I$30,7,FALSE),0)</f>
        <v>0</v>
      </c>
      <c r="AV29" s="11" t="str">
        <f>IFERROR(VLOOKUP(Z29,係数!$B$3:$I$30,8,FALSE),"")</f>
        <v/>
      </c>
      <c r="AW29" s="11" t="str">
        <f>IFERROR(VLOOKUP(Z29,係数!$B$3:$I$30,4,FALSE),"")</f>
        <v/>
      </c>
      <c r="AX29" s="11">
        <f>IFERROR(VLOOKUP(Z29,エネルギー使用量!$C$6:$I$10,7,FALSE),0)</f>
        <v>0</v>
      </c>
      <c r="AY29" s="11">
        <f>IFERROR(VLOOKUP(Z29,係数!$B$3:$I$30,2,FALSE),0)</f>
        <v>0</v>
      </c>
      <c r="AZ29" s="11">
        <f t="shared" si="10"/>
        <v>0</v>
      </c>
    </row>
    <row r="30" spans="2:52">
      <c r="B30" s="100" t="s">
        <v>144</v>
      </c>
      <c r="C30" s="1"/>
      <c r="D30" s="1"/>
      <c r="E30" s="4"/>
      <c r="F30" s="1"/>
      <c r="G30" s="31"/>
      <c r="H30" s="148" t="str">
        <f t="shared" si="11"/>
        <v>ー</v>
      </c>
      <c r="I30" s="148" t="str">
        <f t="shared" si="0"/>
        <v>ー</v>
      </c>
      <c r="J30" s="179"/>
      <c r="K30" s="162"/>
      <c r="L30" s="310"/>
      <c r="M30" s="1"/>
      <c r="N30" s="149" t="str">
        <f t="shared" si="1"/>
        <v/>
      </c>
      <c r="O30" s="399"/>
      <c r="P30" s="1"/>
      <c r="Q30" s="1"/>
      <c r="R30" s="32">
        <f t="shared" si="12"/>
        <v>0</v>
      </c>
      <c r="S30" s="185">
        <f t="shared" si="2"/>
        <v>0</v>
      </c>
      <c r="T30" s="32">
        <f t="shared" si="3"/>
        <v>0</v>
      </c>
      <c r="U30" s="58">
        <f t="shared" si="4"/>
        <v>0</v>
      </c>
      <c r="V30" s="189">
        <f t="shared" si="5"/>
        <v>0</v>
      </c>
      <c r="W30" s="1"/>
      <c r="X30" s="1"/>
      <c r="Y30" s="4"/>
      <c r="Z30" s="31"/>
      <c r="AA30" s="179"/>
      <c r="AB30" s="162"/>
      <c r="AC30" s="310"/>
      <c r="AD30" s="187">
        <f t="shared" si="6"/>
        <v>0</v>
      </c>
      <c r="AE30" s="149" t="str">
        <f t="shared" si="13"/>
        <v/>
      </c>
      <c r="AF30" s="32">
        <f t="shared" si="7"/>
        <v>0</v>
      </c>
      <c r="AG30" s="607">
        <f t="shared" si="14"/>
        <v>0</v>
      </c>
      <c r="AH30" s="32">
        <f t="shared" si="8"/>
        <v>0</v>
      </c>
      <c r="AI30" s="58">
        <f t="shared" si="15"/>
        <v>0</v>
      </c>
      <c r="AJ30" s="189">
        <f t="shared" si="16"/>
        <v>0</v>
      </c>
      <c r="AK30" s="189">
        <f t="shared" si="17"/>
        <v>0</v>
      </c>
      <c r="AL30" s="304">
        <f t="shared" si="18"/>
        <v>0</v>
      </c>
      <c r="AM30" s="305">
        <f t="shared" si="19"/>
        <v>0</v>
      </c>
      <c r="AO30" s="11">
        <f>IFERROR(VLOOKUP(G30,係数!$B$3:$I$30,7,FALSE),0)</f>
        <v>0</v>
      </c>
      <c r="AP30" s="11" t="str">
        <f>IFERROR(VLOOKUP(G30,係数!$B$3:$I$30,8,FALSE),"")</f>
        <v/>
      </c>
      <c r="AQ30" s="11" t="str">
        <f>IFERROR(VLOOKUP(G30,係数!$B$3:$I$30,4,FALSE),"")</f>
        <v/>
      </c>
      <c r="AR30" s="11">
        <f>IFERROR(VLOOKUP(G30,エネルギー使用量!$C$6:$I$10,7,FALSE),0)</f>
        <v>0</v>
      </c>
      <c r="AS30" s="11">
        <f>IFERROR(VLOOKUP(G30,係数!$B$3:$I$30,2,FALSE),0)</f>
        <v>0</v>
      </c>
      <c r="AT30" s="11">
        <f t="shared" si="9"/>
        <v>0</v>
      </c>
      <c r="AU30" s="11">
        <f>IFERROR(VLOOKUP(Z30,係数!$B$3:$I$30,7,FALSE),0)</f>
        <v>0</v>
      </c>
      <c r="AV30" s="11" t="str">
        <f>IFERROR(VLOOKUP(Z30,係数!$B$3:$I$30,8,FALSE),"")</f>
        <v/>
      </c>
      <c r="AW30" s="11" t="str">
        <f>IFERROR(VLOOKUP(Z30,係数!$B$3:$I$30,4,FALSE),"")</f>
        <v/>
      </c>
      <c r="AX30" s="11">
        <f>IFERROR(VLOOKUP(Z30,エネルギー使用量!$C$6:$I$10,7,FALSE),0)</f>
        <v>0</v>
      </c>
      <c r="AY30" s="11">
        <f>IFERROR(VLOOKUP(Z30,係数!$B$3:$I$30,2,FALSE),0)</f>
        <v>0</v>
      </c>
      <c r="AZ30" s="11">
        <f t="shared" si="10"/>
        <v>0</v>
      </c>
    </row>
    <row r="31" spans="2:52">
      <c r="B31" s="100" t="s">
        <v>145</v>
      </c>
      <c r="C31" s="1"/>
      <c r="D31" s="1"/>
      <c r="E31" s="4"/>
      <c r="F31" s="1"/>
      <c r="G31" s="31"/>
      <c r="H31" s="148" t="str">
        <f t="shared" si="11"/>
        <v>ー</v>
      </c>
      <c r="I31" s="148" t="str">
        <f t="shared" si="0"/>
        <v>ー</v>
      </c>
      <c r="J31" s="179"/>
      <c r="K31" s="162"/>
      <c r="L31" s="310"/>
      <c r="M31" s="1"/>
      <c r="N31" s="149" t="str">
        <f t="shared" si="1"/>
        <v/>
      </c>
      <c r="O31" s="399"/>
      <c r="P31" s="1"/>
      <c r="Q31" s="1"/>
      <c r="R31" s="32">
        <f t="shared" si="12"/>
        <v>0</v>
      </c>
      <c r="S31" s="185">
        <f t="shared" si="2"/>
        <v>0</v>
      </c>
      <c r="T31" s="32">
        <f t="shared" si="3"/>
        <v>0</v>
      </c>
      <c r="U31" s="58">
        <f t="shared" si="4"/>
        <v>0</v>
      </c>
      <c r="V31" s="189">
        <f t="shared" si="5"/>
        <v>0</v>
      </c>
      <c r="W31" s="1"/>
      <c r="X31" s="1"/>
      <c r="Y31" s="4"/>
      <c r="Z31" s="31"/>
      <c r="AA31" s="179"/>
      <c r="AB31" s="162"/>
      <c r="AC31" s="310"/>
      <c r="AD31" s="187">
        <f t="shared" si="6"/>
        <v>0</v>
      </c>
      <c r="AE31" s="149" t="str">
        <f t="shared" si="13"/>
        <v/>
      </c>
      <c r="AF31" s="32">
        <f t="shared" si="7"/>
        <v>0</v>
      </c>
      <c r="AG31" s="607">
        <f t="shared" si="14"/>
        <v>0</v>
      </c>
      <c r="AH31" s="32">
        <f t="shared" si="8"/>
        <v>0</v>
      </c>
      <c r="AI31" s="58">
        <f t="shared" si="15"/>
        <v>0</v>
      </c>
      <c r="AJ31" s="189">
        <f t="shared" si="16"/>
        <v>0</v>
      </c>
      <c r="AK31" s="189">
        <f t="shared" si="17"/>
        <v>0</v>
      </c>
      <c r="AL31" s="304">
        <f t="shared" si="18"/>
        <v>0</v>
      </c>
      <c r="AM31" s="305">
        <f t="shared" si="19"/>
        <v>0</v>
      </c>
      <c r="AO31" s="11">
        <f>IFERROR(VLOOKUP(G31,係数!$B$3:$I$30,7,FALSE),0)</f>
        <v>0</v>
      </c>
      <c r="AP31" s="11" t="str">
        <f>IFERROR(VLOOKUP(G31,係数!$B$3:$I$30,8,FALSE),"")</f>
        <v/>
      </c>
      <c r="AQ31" s="11" t="str">
        <f>IFERROR(VLOOKUP(G31,係数!$B$3:$I$30,4,FALSE),"")</f>
        <v/>
      </c>
      <c r="AR31" s="11">
        <f>IFERROR(VLOOKUP(G31,エネルギー使用量!$C$6:$I$10,7,FALSE),0)</f>
        <v>0</v>
      </c>
      <c r="AS31" s="11">
        <f>IFERROR(VLOOKUP(G31,係数!$B$3:$I$30,2,FALSE),0)</f>
        <v>0</v>
      </c>
      <c r="AT31" s="11">
        <f t="shared" si="9"/>
        <v>0</v>
      </c>
      <c r="AU31" s="11">
        <f>IFERROR(VLOOKUP(Z31,係数!$B$3:$I$30,7,FALSE),0)</f>
        <v>0</v>
      </c>
      <c r="AV31" s="11" t="str">
        <f>IFERROR(VLOOKUP(Z31,係数!$B$3:$I$30,8,FALSE),"")</f>
        <v/>
      </c>
      <c r="AW31" s="11" t="str">
        <f>IFERROR(VLOOKUP(Z31,係数!$B$3:$I$30,4,FALSE),"")</f>
        <v/>
      </c>
      <c r="AX31" s="11">
        <f>IFERROR(VLOOKUP(Z31,エネルギー使用量!$C$6:$I$10,7,FALSE),0)</f>
        <v>0</v>
      </c>
      <c r="AY31" s="11">
        <f>IFERROR(VLOOKUP(Z31,係数!$B$3:$I$30,2,FALSE),0)</f>
        <v>0</v>
      </c>
      <c r="AZ31" s="11">
        <f t="shared" si="10"/>
        <v>0</v>
      </c>
    </row>
    <row r="33" spans="1:52" ht="29">
      <c r="A33" s="13" t="s">
        <v>1011</v>
      </c>
    </row>
    <row r="41" spans="1:52">
      <c r="B41" s="500" t="str">
        <f>HYPERLINK("#B2", "【シートトップ】ハイパーリンク")</f>
        <v>【シートトップ】ハイパーリンク</v>
      </c>
    </row>
    <row r="42" spans="1:52">
      <c r="B42" s="620" t="s">
        <v>20</v>
      </c>
      <c r="C42" s="116" t="s">
        <v>22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306"/>
      <c r="T42" s="307" t="s">
        <v>949</v>
      </c>
      <c r="U42" s="261"/>
      <c r="V42" s="308"/>
      <c r="W42" s="309" t="s">
        <v>23</v>
      </c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309" t="s">
        <v>949</v>
      </c>
      <c r="AI42" s="261"/>
      <c r="AJ42" s="107"/>
      <c r="AK42" s="103" t="s">
        <v>31</v>
      </c>
      <c r="AL42" s="104"/>
      <c r="AM42" s="105"/>
    </row>
    <row r="43" spans="1:52" ht="54">
      <c r="B43" s="611"/>
      <c r="C43" s="117" t="s">
        <v>892</v>
      </c>
      <c r="D43" s="117" t="s">
        <v>940</v>
      </c>
      <c r="E43" s="117" t="s">
        <v>384</v>
      </c>
      <c r="F43" s="117" t="s">
        <v>383</v>
      </c>
      <c r="G43" s="102" t="s">
        <v>113</v>
      </c>
      <c r="H43" s="126" t="s">
        <v>1051</v>
      </c>
      <c r="I43" s="117" t="s">
        <v>386</v>
      </c>
      <c r="J43" s="117" t="s">
        <v>356</v>
      </c>
      <c r="K43" s="117" t="s">
        <v>355</v>
      </c>
      <c r="L43" s="117" t="s">
        <v>125</v>
      </c>
      <c r="M43" s="117" t="s">
        <v>231</v>
      </c>
      <c r="N43" s="117" t="s">
        <v>123</v>
      </c>
      <c r="O43" s="117" t="s">
        <v>99</v>
      </c>
      <c r="P43" s="117" t="s">
        <v>760</v>
      </c>
      <c r="Q43" s="117" t="s">
        <v>39</v>
      </c>
      <c r="R43" s="117" t="s">
        <v>752</v>
      </c>
      <c r="S43" s="117" t="s">
        <v>127</v>
      </c>
      <c r="T43" s="403" t="s">
        <v>128</v>
      </c>
      <c r="U43" s="403" t="s">
        <v>129</v>
      </c>
      <c r="V43" s="403" t="s">
        <v>1116</v>
      </c>
      <c r="W43" s="403" t="s">
        <v>892</v>
      </c>
      <c r="X43" s="403" t="s">
        <v>941</v>
      </c>
      <c r="Y43" s="403" t="s">
        <v>384</v>
      </c>
      <c r="Z43" s="404" t="s">
        <v>113</v>
      </c>
      <c r="AA43" s="403" t="s">
        <v>356</v>
      </c>
      <c r="AB43" s="403" t="s">
        <v>355</v>
      </c>
      <c r="AC43" s="403" t="s">
        <v>125</v>
      </c>
      <c r="AD43" s="403" t="s">
        <v>130</v>
      </c>
      <c r="AE43" s="403" t="s">
        <v>123</v>
      </c>
      <c r="AF43" s="403" t="s">
        <v>753</v>
      </c>
      <c r="AG43" s="403" t="s">
        <v>99</v>
      </c>
      <c r="AH43" s="403" t="s">
        <v>131</v>
      </c>
      <c r="AI43" s="403" t="s">
        <v>41</v>
      </c>
      <c r="AJ43" s="403" t="s">
        <v>1116</v>
      </c>
      <c r="AK43" s="403" t="s">
        <v>948</v>
      </c>
      <c r="AL43" s="403" t="s">
        <v>132</v>
      </c>
      <c r="AM43" s="403" t="s">
        <v>1067</v>
      </c>
    </row>
    <row r="44" spans="1:52">
      <c r="B44" s="100" t="s">
        <v>21</v>
      </c>
      <c r="C44" s="141"/>
      <c r="D44" s="402" t="s">
        <v>45</v>
      </c>
      <c r="E44" s="141"/>
      <c r="F44" s="402" t="s">
        <v>869</v>
      </c>
      <c r="G44" s="141"/>
      <c r="H44" s="141"/>
      <c r="I44" s="141"/>
      <c r="J44" s="141"/>
      <c r="K44" s="141"/>
      <c r="L44" s="402" t="s">
        <v>133</v>
      </c>
      <c r="M44" s="402" t="str">
        <f>"/(台・h)"</f>
        <v>/(台・h)</v>
      </c>
      <c r="N44" s="141"/>
      <c r="O44" s="402" t="s">
        <v>133</v>
      </c>
      <c r="P44" s="402" t="s">
        <v>46</v>
      </c>
      <c r="Q44" s="402" t="s">
        <v>47</v>
      </c>
      <c r="R44" s="402" t="s">
        <v>48</v>
      </c>
      <c r="S44" s="402" t="s">
        <v>134</v>
      </c>
      <c r="T44" s="402" t="str">
        <f>"/年"</f>
        <v>/年</v>
      </c>
      <c r="U44" s="101" t="s">
        <v>8</v>
      </c>
      <c r="V44" s="402" t="s">
        <v>29</v>
      </c>
      <c r="W44" s="141"/>
      <c r="X44" s="402" t="s">
        <v>45</v>
      </c>
      <c r="Y44" s="141"/>
      <c r="Z44" s="141"/>
      <c r="AA44" s="141"/>
      <c r="AB44" s="141"/>
      <c r="AC44" s="402" t="s">
        <v>133</v>
      </c>
      <c r="AD44" s="402" t="str">
        <f>"/(台・h)"</f>
        <v>/(台・h)</v>
      </c>
      <c r="AE44" s="141"/>
      <c r="AF44" s="402" t="s">
        <v>48</v>
      </c>
      <c r="AG44" s="402" t="s">
        <v>133</v>
      </c>
      <c r="AH44" s="402" t="str">
        <f>"/年"</f>
        <v>/年</v>
      </c>
      <c r="AI44" s="101" t="s">
        <v>8</v>
      </c>
      <c r="AJ44" s="402" t="s">
        <v>29</v>
      </c>
      <c r="AK44" s="402" t="str">
        <f>"/年"</f>
        <v>/年</v>
      </c>
      <c r="AL44" s="101" t="s">
        <v>8</v>
      </c>
      <c r="AM44" s="402" t="s">
        <v>761</v>
      </c>
      <c r="AO44" s="11" t="s">
        <v>22</v>
      </c>
      <c r="AP44" s="11"/>
      <c r="AQ44" s="11"/>
      <c r="AR44" s="11" t="s">
        <v>2</v>
      </c>
      <c r="AS44" s="11"/>
      <c r="AT44" s="11"/>
      <c r="AU44" s="11" t="s">
        <v>23</v>
      </c>
      <c r="AV44" s="11"/>
      <c r="AW44" s="11"/>
      <c r="AX44" s="11" t="s">
        <v>2</v>
      </c>
      <c r="AY44" s="11"/>
      <c r="AZ44" s="11"/>
    </row>
    <row r="45" spans="1:52">
      <c r="B45" s="114" t="s">
        <v>16</v>
      </c>
      <c r="C45" s="80"/>
      <c r="D45" s="29">
        <f>SUM(D46:D50)</f>
        <v>8</v>
      </c>
      <c r="E45" s="80"/>
      <c r="F45" s="80"/>
      <c r="G45" s="80"/>
      <c r="H45" s="83"/>
      <c r="I45" s="80"/>
      <c r="J45" s="80"/>
      <c r="K45" s="81"/>
      <c r="L45" s="80"/>
      <c r="M45" s="82"/>
      <c r="N45" s="83"/>
      <c r="O45" s="177"/>
      <c r="P45" s="83"/>
      <c r="Q45" s="83"/>
      <c r="R45" s="81"/>
      <c r="S45" s="184">
        <f>SUM(T46:T50)</f>
        <v>72001.923288888895</v>
      </c>
      <c r="T45" s="177"/>
      <c r="U45" s="57">
        <f>SUM(V46:V53)</f>
        <v>67.791808594044795</v>
      </c>
      <c r="V45" s="188">
        <f>SUM(W46:W53)</f>
        <v>0</v>
      </c>
      <c r="W45" s="83"/>
      <c r="X45" s="29">
        <f>SUM(X46:X50)</f>
        <v>15</v>
      </c>
      <c r="Y45" s="80"/>
      <c r="Z45" s="83"/>
      <c r="AA45" s="80"/>
      <c r="AB45" s="81"/>
      <c r="AC45" s="80"/>
      <c r="AD45" s="186"/>
      <c r="AE45" s="83"/>
      <c r="AF45" s="81"/>
      <c r="AG45" s="178"/>
      <c r="AH45" s="178"/>
      <c r="AI45" s="57">
        <f>SUM(AI46:AI50)</f>
        <v>115.82987493443888</v>
      </c>
      <c r="AJ45" s="188">
        <f>SUM(AJ46:AJ50)</f>
        <v>54.745594097465855</v>
      </c>
      <c r="AK45" s="178"/>
      <c r="AL45" s="191">
        <f>SUM(AL46:AL50)</f>
        <v>37.024235141850014</v>
      </c>
      <c r="AM45" s="190">
        <f>SUM(AM46:AM50)</f>
        <v>13.046214496578951</v>
      </c>
      <c r="AO45" s="258" t="s">
        <v>114</v>
      </c>
      <c r="AP45" s="11"/>
      <c r="AQ45" s="11" t="s">
        <v>120</v>
      </c>
      <c r="AR45" s="11" t="s">
        <v>115</v>
      </c>
      <c r="AS45" s="21" t="s">
        <v>121</v>
      </c>
      <c r="AT45" s="21" t="s">
        <v>135</v>
      </c>
      <c r="AU45" s="258" t="s">
        <v>114</v>
      </c>
      <c r="AV45" s="11"/>
      <c r="AW45" s="11" t="s">
        <v>120</v>
      </c>
      <c r="AX45" s="11" t="s">
        <v>115</v>
      </c>
      <c r="AY45" s="21" t="s">
        <v>121</v>
      </c>
      <c r="AZ45" s="21" t="s">
        <v>135</v>
      </c>
    </row>
    <row r="46" spans="1:52">
      <c r="B46" s="100" t="s">
        <v>136</v>
      </c>
      <c r="C46" s="532" t="s">
        <v>1016</v>
      </c>
      <c r="D46" s="532">
        <v>1</v>
      </c>
      <c r="E46" s="423" t="s">
        <v>1012</v>
      </c>
      <c r="F46" s="532"/>
      <c r="G46" s="533" t="s">
        <v>122</v>
      </c>
      <c r="H46" s="148" t="str">
        <f>IF(E46="給湯器（HP）",IF(F46="",1,MIN(1.5,(2025-F46)*0.02+1)),"ー")</f>
        <v>ー</v>
      </c>
      <c r="I46" s="148">
        <f t="shared" ref="I46:I48" si="20">IF(OR(E46="",E46="給湯器（HP）"),"ー",0.1)</f>
        <v>0.1</v>
      </c>
      <c r="J46" s="534">
        <v>350</v>
      </c>
      <c r="K46" s="535" t="s">
        <v>1014</v>
      </c>
      <c r="L46" s="536">
        <v>0.88</v>
      </c>
      <c r="M46" s="538">
        <v>22.1</v>
      </c>
      <c r="N46" s="149" t="str">
        <f>AQ46</f>
        <v>㎥</v>
      </c>
      <c r="O46" s="537">
        <v>0.25</v>
      </c>
      <c r="P46" s="532">
        <v>12</v>
      </c>
      <c r="Q46" s="532">
        <v>345</v>
      </c>
      <c r="R46" s="32">
        <f>P46*Q46</f>
        <v>4140</v>
      </c>
      <c r="S46" s="185">
        <f>IF(L46&gt;0,M46*L46*O46*AS46*D46,0)</f>
        <v>194.48000000000002</v>
      </c>
      <c r="T46" s="32">
        <f>IF(R46=0,0,IF(E46="給湯器（HP）",M46*D46*R46*O46*H46,M46*D46*R46*O46/(1-I46)))</f>
        <v>25415</v>
      </c>
      <c r="U46" s="58">
        <f>T46*AO46</f>
        <v>52.100750000000005</v>
      </c>
      <c r="V46" s="189">
        <f t="shared" ref="V46:V48" si="21">(T46*$AS46)*0.0000258</f>
        <v>26.228280000000002</v>
      </c>
      <c r="W46" s="532" t="s">
        <v>1022</v>
      </c>
      <c r="X46" s="532">
        <v>1</v>
      </c>
      <c r="Y46" s="423" t="s">
        <v>1012</v>
      </c>
      <c r="Z46" s="533" t="s">
        <v>122</v>
      </c>
      <c r="AA46" s="534">
        <v>350</v>
      </c>
      <c r="AB46" s="535" t="s">
        <v>1014</v>
      </c>
      <c r="AC46" s="536">
        <v>0.96</v>
      </c>
      <c r="AD46" s="187">
        <f t="shared" ref="AD46" si="22">IF(AC46&gt;0,S46/AY46/AC46/AG46/X46,0)</f>
        <v>20.258333333333333</v>
      </c>
      <c r="AE46" s="149" t="str">
        <f>AW46</f>
        <v>㎥</v>
      </c>
      <c r="AF46" s="32">
        <f>R46</f>
        <v>4140</v>
      </c>
      <c r="AG46" s="406">
        <f>IF(OR(X46="",AA46=""),0,O46*(J46*D46)/(AA46*X46))</f>
        <v>0.25</v>
      </c>
      <c r="AH46" s="32">
        <f>AD46*X46*AF46*AG46</f>
        <v>20967.375</v>
      </c>
      <c r="AI46" s="58">
        <f>AH46*AU46</f>
        <v>42.983118750000003</v>
      </c>
      <c r="AJ46" s="189">
        <f>(AH46*$AY46)*0.0000258</f>
        <v>21.638331000000001</v>
      </c>
      <c r="AK46" s="189">
        <f t="shared" ref="AK46:AK48" si="23">T46-AH46</f>
        <v>4447.625</v>
      </c>
      <c r="AL46" s="304">
        <f t="shared" ref="AL46:AM48" si="24">U46-AI46</f>
        <v>9.1176312500000023</v>
      </c>
      <c r="AM46" s="305">
        <f t="shared" si="24"/>
        <v>4.5899490000000007</v>
      </c>
      <c r="AO46" s="11">
        <f>IFERROR(VLOOKUP(G46,係数!$B$3:$I$30,7,FALSE),0)</f>
        <v>2.0500000000000002E-3</v>
      </c>
      <c r="AP46" s="11" t="str">
        <f>IFERROR(VLOOKUP(G46,係数!$B$3:$I$30,8,FALSE),"")</f>
        <v>tCO2/㎥</v>
      </c>
      <c r="AQ46" s="11" t="str">
        <f>IFERROR(VLOOKUP(G46,係数!$B$3:$I$30,4,FALSE),"")</f>
        <v>㎥</v>
      </c>
      <c r="AR46" s="11">
        <f>IFERROR(VLOOKUP(G46,エネルギー使用量!$C$6:$I$10,7,FALSE),0)</f>
        <v>0</v>
      </c>
      <c r="AS46" s="11">
        <f>IFERROR(VLOOKUP(G46,係数!$B$3:$I$30,2,FALSE),0)</f>
        <v>40</v>
      </c>
      <c r="AT46" s="11">
        <f>IF(G46="電気",3.6,AS46)</f>
        <v>40</v>
      </c>
      <c r="AU46" s="11">
        <f>IFERROR(VLOOKUP(Z46,係数!$B$3:$I$30,7,FALSE),0)</f>
        <v>2.0500000000000002E-3</v>
      </c>
      <c r="AV46" s="11" t="str">
        <f>IFERROR(VLOOKUP(Z46,係数!$B$3:$I$30,8,FALSE),"")</f>
        <v>tCO2/㎥</v>
      </c>
      <c r="AW46" s="11" t="str">
        <f>IFERROR(VLOOKUP(Z46,係数!$B$3:$I$30,4,FALSE),"")</f>
        <v>㎥</v>
      </c>
      <c r="AX46" s="11">
        <f>IFERROR(VLOOKUP(Z46,エネルギー使用量!$C$6:$I$10,7,FALSE),0)</f>
        <v>0</v>
      </c>
      <c r="AY46" s="11">
        <f>IFERROR(VLOOKUP(Z46,係数!$B$3:$I$30,2,FALSE),0)</f>
        <v>40</v>
      </c>
      <c r="AZ46" s="11">
        <f t="shared" ref="AZ46:AZ49" si="25">IF(Z46="電気",3.6,AY46)</f>
        <v>40</v>
      </c>
    </row>
    <row r="47" spans="1:52">
      <c r="B47" s="100" t="s">
        <v>137</v>
      </c>
      <c r="C47" s="532" t="s">
        <v>1017</v>
      </c>
      <c r="D47" s="532">
        <v>4</v>
      </c>
      <c r="E47" s="423" t="s">
        <v>1013</v>
      </c>
      <c r="F47" s="532"/>
      <c r="G47" s="533" t="s">
        <v>122</v>
      </c>
      <c r="H47" s="148" t="str">
        <f t="shared" ref="H47:H50" si="26">IF(E47="給湯器（HP）",IF(F47="",1,MIN(1.5,(2025-F47)*0.02+1)),"ー")</f>
        <v>ー</v>
      </c>
      <c r="I47" s="148">
        <f t="shared" si="20"/>
        <v>0.1</v>
      </c>
      <c r="J47" s="534">
        <v>87.2</v>
      </c>
      <c r="K47" s="535" t="s">
        <v>379</v>
      </c>
      <c r="L47" s="536">
        <v>0.90928050052137643</v>
      </c>
      <c r="M47" s="538">
        <v>7.4802000000000008</v>
      </c>
      <c r="N47" s="149" t="str">
        <f>AQ47</f>
        <v>㎥</v>
      </c>
      <c r="O47" s="537">
        <v>0.4</v>
      </c>
      <c r="P47" s="532">
        <v>3</v>
      </c>
      <c r="Q47" s="532">
        <v>260</v>
      </c>
      <c r="R47" s="32">
        <f t="shared" ref="R47:R48" si="27">P47*Q47</f>
        <v>780</v>
      </c>
      <c r="S47" s="185">
        <f>IF(L47&gt;0,M47*L47*O47*AS47*D47,0)</f>
        <v>435.30240000000003</v>
      </c>
      <c r="T47" s="32">
        <f>IF(R47=0,0,IF(E47="給湯器（HP）",M47*D47*R47*O47*H47,M47*D47*R47*O47/(1-I47)))</f>
        <v>10372.544000000002</v>
      </c>
      <c r="U47" s="58">
        <f t="shared" ref="U47:U48" si="28">T47*AO47</f>
        <v>21.263715200000004</v>
      </c>
      <c r="V47" s="189">
        <f t="shared" si="21"/>
        <v>10.704465408000003</v>
      </c>
      <c r="W47" s="532" t="s">
        <v>1023</v>
      </c>
      <c r="X47" s="532">
        <v>4</v>
      </c>
      <c r="Y47" s="423" t="s">
        <v>1013</v>
      </c>
      <c r="Z47" s="533" t="s">
        <v>122</v>
      </c>
      <c r="AA47" s="534">
        <v>87.2</v>
      </c>
      <c r="AB47" s="535" t="s">
        <v>379</v>
      </c>
      <c r="AC47" s="536">
        <v>0.95</v>
      </c>
      <c r="AD47" s="187">
        <f>IF(AC47&gt;0,S47/AY47/AC47/AG47/X47,0)</f>
        <v>7.1595789473684217</v>
      </c>
      <c r="AE47" s="149" t="str">
        <f t="shared" ref="AE47:AE48" si="29">AW47</f>
        <v>㎥</v>
      </c>
      <c r="AF47" s="32">
        <f>R47</f>
        <v>780</v>
      </c>
      <c r="AG47" s="406">
        <f>IF(OR(X47="",AA47=""),0,O47*(J47*D47)/(AA47*X47))</f>
        <v>0.4</v>
      </c>
      <c r="AH47" s="32">
        <f t="shared" ref="AH47:AH48" si="30">AD47*X47*AF47*AG47</f>
        <v>8935.1545263157914</v>
      </c>
      <c r="AI47" s="58">
        <f t="shared" ref="AI47:AI48" si="31">AH47*AU47</f>
        <v>18.317066778947375</v>
      </c>
      <c r="AJ47" s="189">
        <f t="shared" ref="AJ47:AJ48" si="32">(AH47*$AY47)*0.0000258</f>
        <v>9.2210794711578963</v>
      </c>
      <c r="AK47" s="189">
        <f t="shared" si="23"/>
        <v>1437.3894736842103</v>
      </c>
      <c r="AL47" s="304">
        <f t="shared" si="24"/>
        <v>2.9466484210526289</v>
      </c>
      <c r="AM47" s="305">
        <f t="shared" si="24"/>
        <v>1.4833859368421063</v>
      </c>
      <c r="AO47" s="11">
        <f>IFERROR(VLOOKUP(G47,係数!$B$3:$I$30,7,FALSE),0)</f>
        <v>2.0500000000000002E-3</v>
      </c>
      <c r="AP47" s="11" t="str">
        <f>IFERROR(VLOOKUP(G47,係数!$B$3:$I$30,8,FALSE),"")</f>
        <v>tCO2/㎥</v>
      </c>
      <c r="AQ47" s="11" t="str">
        <f>IFERROR(VLOOKUP(G47,係数!$B$3:$I$30,4,FALSE),"")</f>
        <v>㎥</v>
      </c>
      <c r="AR47" s="11">
        <f>IFERROR(VLOOKUP(G47,エネルギー使用量!$C$6:$I$10,7,FALSE),0)</f>
        <v>0</v>
      </c>
      <c r="AS47" s="11">
        <f>IFERROR(VLOOKUP(G47,係数!$B$3:$I$30,2,FALSE),0)</f>
        <v>40</v>
      </c>
      <c r="AT47" s="11">
        <f>IF(G47="電気",3.6,AS47)</f>
        <v>40</v>
      </c>
      <c r="AU47" s="11">
        <f>IFERROR(VLOOKUP(Z47,係数!$B$3:$I$30,7,FALSE),0)</f>
        <v>2.0500000000000002E-3</v>
      </c>
      <c r="AV47" s="11" t="str">
        <f>IFERROR(VLOOKUP(Z47,係数!$B$3:$I$30,8,FALSE),"")</f>
        <v>tCO2/㎥</v>
      </c>
      <c r="AW47" s="11" t="str">
        <f>IFERROR(VLOOKUP(Z47,係数!$B$3:$I$30,4,FALSE),"")</f>
        <v>㎥</v>
      </c>
      <c r="AX47" s="11">
        <f>IFERROR(VLOOKUP(Z47,エネルギー使用量!$C$6:$I$10,7,FALSE),0)</f>
        <v>0</v>
      </c>
      <c r="AY47" s="11">
        <f>IFERROR(VLOOKUP(Z47,係数!$B$3:$I$30,2,FALSE),0)</f>
        <v>40</v>
      </c>
      <c r="AZ47" s="11">
        <f t="shared" si="25"/>
        <v>40</v>
      </c>
    </row>
    <row r="48" spans="1:52">
      <c r="B48" s="100" t="s">
        <v>138</v>
      </c>
      <c r="C48" s="532" t="s">
        <v>1018</v>
      </c>
      <c r="D48" s="532">
        <v>1</v>
      </c>
      <c r="E48" s="423" t="s">
        <v>385</v>
      </c>
      <c r="F48" s="532">
        <v>2012</v>
      </c>
      <c r="G48" s="533" t="s">
        <v>5</v>
      </c>
      <c r="H48" s="148">
        <f t="shared" si="26"/>
        <v>1.26</v>
      </c>
      <c r="I48" s="148" t="str">
        <f t="shared" si="20"/>
        <v>ー</v>
      </c>
      <c r="J48" s="534">
        <v>40</v>
      </c>
      <c r="K48" s="535" t="s">
        <v>379</v>
      </c>
      <c r="L48" s="536">
        <f>J48/M48</f>
        <v>4.0983606557377046</v>
      </c>
      <c r="M48" s="538">
        <v>9.76</v>
      </c>
      <c r="N48" s="149" t="str">
        <f>AQ48</f>
        <v>kWh</v>
      </c>
      <c r="O48" s="537">
        <v>0.3</v>
      </c>
      <c r="P48" s="532">
        <v>6</v>
      </c>
      <c r="Q48" s="532">
        <v>280</v>
      </c>
      <c r="R48" s="32">
        <f t="shared" si="27"/>
        <v>1680</v>
      </c>
      <c r="S48" s="185">
        <f>IF(L48&gt;0,M48*L48*O48*AS48*D48,0)</f>
        <v>103.67999999999999</v>
      </c>
      <c r="T48" s="32">
        <f>IF(R48=0,0,IF(E48="給湯器（HP）",M48*D48*R48*O48*H48,M48*D48*R48*O48/(1-I48)))</f>
        <v>6197.9903999999997</v>
      </c>
      <c r="U48" s="58">
        <f t="shared" si="28"/>
        <v>2.6713338624</v>
      </c>
      <c r="V48" s="189">
        <f t="shared" si="21"/>
        <v>1.3816064360447999</v>
      </c>
      <c r="W48" s="532" t="s">
        <v>1024</v>
      </c>
      <c r="X48" s="532">
        <v>6</v>
      </c>
      <c r="Y48" s="423" t="s">
        <v>385</v>
      </c>
      <c r="Z48" s="533" t="s">
        <v>5</v>
      </c>
      <c r="AA48" s="534">
        <v>6</v>
      </c>
      <c r="AB48" s="535" t="s">
        <v>379</v>
      </c>
      <c r="AC48" s="536">
        <f>6/1.56</f>
        <v>3.8461538461538458</v>
      </c>
      <c r="AD48" s="187">
        <f>IF(AC48&gt;0,S48/AY48/AC48/AG48/X48,0)</f>
        <v>1.5599999999999998</v>
      </c>
      <c r="AE48" s="149" t="str">
        <f t="shared" si="29"/>
        <v>kWh</v>
      </c>
      <c r="AF48" s="32">
        <f>R48</f>
        <v>1680</v>
      </c>
      <c r="AG48" s="406">
        <f>IF(OR(X48="",AA48=""),0,O48*(J48*D48)/(AA48*X48))</f>
        <v>0.33333333333333331</v>
      </c>
      <c r="AH48" s="32">
        <f t="shared" si="30"/>
        <v>5241.5999999999995</v>
      </c>
      <c r="AI48" s="58">
        <f t="shared" si="31"/>
        <v>2.2591295999999996</v>
      </c>
      <c r="AJ48" s="189">
        <f t="shared" si="32"/>
        <v>1.1684155392</v>
      </c>
      <c r="AK48" s="189">
        <f t="shared" si="23"/>
        <v>956.39040000000023</v>
      </c>
      <c r="AL48" s="304">
        <f t="shared" si="24"/>
        <v>0.41220426240000041</v>
      </c>
      <c r="AM48" s="305">
        <f t="shared" si="24"/>
        <v>0.21319089684479997</v>
      </c>
      <c r="AO48" s="11">
        <f>IFERROR(VLOOKUP(G48,係数!$B$3:$I$30,7,FALSE),0)</f>
        <v>4.3100000000000001E-4</v>
      </c>
      <c r="AP48" s="11" t="str">
        <f>IFERROR(VLOOKUP(G48,係数!$B$3:$I$30,8,FALSE),"")</f>
        <v>tCO2/kWh</v>
      </c>
      <c r="AQ48" s="11" t="str">
        <f>IFERROR(VLOOKUP(G48,係数!$B$3:$I$30,4,FALSE),"")</f>
        <v>kWh</v>
      </c>
      <c r="AR48" s="11">
        <f>IFERROR(VLOOKUP(G48,エネルギー使用量!$C$6:$I$10,7,FALSE),0)</f>
        <v>0</v>
      </c>
      <c r="AS48" s="11">
        <f>IFERROR(VLOOKUP(G48,係数!$B$3:$I$30,2,FALSE),0)</f>
        <v>8.64</v>
      </c>
      <c r="AT48" s="11">
        <f>IF(G48="電気",3.6,AS48)</f>
        <v>3.6</v>
      </c>
      <c r="AU48" s="11">
        <f>IFERROR(VLOOKUP(Z48,係数!$B$3:$I$30,7,FALSE),0)</f>
        <v>4.3100000000000001E-4</v>
      </c>
      <c r="AV48" s="11" t="str">
        <f>IFERROR(VLOOKUP(Z48,係数!$B$3:$I$30,8,FALSE),"")</f>
        <v>tCO2/kWh</v>
      </c>
      <c r="AW48" s="11" t="str">
        <f>IFERROR(VLOOKUP(Z48,係数!$B$3:$I$30,4,FALSE),"")</f>
        <v>kWh</v>
      </c>
      <c r="AX48" s="11">
        <f>IFERROR(VLOOKUP(Z48,エネルギー使用量!$C$6:$I$10,7,FALSE),0)</f>
        <v>0</v>
      </c>
      <c r="AY48" s="11">
        <f>IFERROR(VLOOKUP(Z48,係数!$B$3:$I$30,2,FALSE),0)</f>
        <v>8.64</v>
      </c>
      <c r="AZ48" s="11">
        <f t="shared" si="25"/>
        <v>3.6</v>
      </c>
    </row>
    <row r="49" spans="2:52">
      <c r="B49" s="100" t="s">
        <v>139</v>
      </c>
      <c r="C49" s="532" t="s">
        <v>1025</v>
      </c>
      <c r="D49" s="532">
        <v>1</v>
      </c>
      <c r="E49" s="423" t="s">
        <v>1012</v>
      </c>
      <c r="F49" s="532"/>
      <c r="G49" s="533" t="s">
        <v>1027</v>
      </c>
      <c r="H49" s="148" t="str">
        <f t="shared" si="26"/>
        <v>ー</v>
      </c>
      <c r="I49" s="148">
        <f t="shared" ref="I49:I50" si="33">IF(OR(E49="",E49="給湯器（HP）"),"ー",0.1)</f>
        <v>0.1</v>
      </c>
      <c r="J49" s="534">
        <v>233</v>
      </c>
      <c r="K49" s="535" t="s">
        <v>379</v>
      </c>
      <c r="L49" s="536">
        <v>0.9</v>
      </c>
      <c r="M49" s="538">
        <v>25.3</v>
      </c>
      <c r="N49" s="149" t="str">
        <f>AQ49</f>
        <v>L</v>
      </c>
      <c r="O49" s="537">
        <v>0.3</v>
      </c>
      <c r="P49" s="532">
        <v>9</v>
      </c>
      <c r="Q49" s="532">
        <v>350</v>
      </c>
      <c r="R49" s="32">
        <f t="shared" ref="R49:R50" si="34">P49*Q49</f>
        <v>3150</v>
      </c>
      <c r="S49" s="185">
        <f>IF(L49&gt;0,M49*L49*O49*AS49*D49,0)</f>
        <v>249.33149999999998</v>
      </c>
      <c r="T49" s="32">
        <f>IF(R49=0,0,IF(E49="給湯器（HP）",M49*D49*R49*O49*H49,M49*D49*R49*O49/(1-I49)))</f>
        <v>26565</v>
      </c>
      <c r="U49" s="58">
        <f>T49*AO49</f>
        <v>66.483782750000003</v>
      </c>
      <c r="V49" s="189">
        <f t="shared" ref="V49:V50" si="35">(T49*$AS49)*0.0000258</f>
        <v>25.016260500000001</v>
      </c>
      <c r="W49" s="532" t="s">
        <v>1028</v>
      </c>
      <c r="X49" s="532">
        <v>1</v>
      </c>
      <c r="Y49" s="423" t="s">
        <v>1012</v>
      </c>
      <c r="Z49" s="533" t="s">
        <v>388</v>
      </c>
      <c r="AA49" s="534">
        <v>233</v>
      </c>
      <c r="AB49" s="535" t="s">
        <v>379</v>
      </c>
      <c r="AC49" s="536">
        <v>0.93</v>
      </c>
      <c r="AD49" s="187">
        <f t="shared" ref="AD49:AD50" si="36">IF(AC49&gt;0,S49/AY49/AC49/AG49/X49,0)</f>
        <v>17.837550705041526</v>
      </c>
      <c r="AE49" s="149" t="str">
        <f t="shared" ref="AE49:AE50" si="37">AW49</f>
        <v>kg</v>
      </c>
      <c r="AF49" s="32">
        <f>R49</f>
        <v>3150</v>
      </c>
      <c r="AG49" s="406">
        <f>IF(OR(X49="",AA49=""),0,O49*(J49*D49)/(AA49*X49))</f>
        <v>0.3</v>
      </c>
      <c r="AH49" s="32">
        <f t="shared" ref="AH49:AH50" si="38">AD49*X49*AF49*AG49</f>
        <v>16856.48541626424</v>
      </c>
      <c r="AI49" s="58">
        <f t="shared" ref="AI49:AI50" si="39">AH49*AU49</f>
        <v>50.47354284677418</v>
      </c>
      <c r="AJ49" s="189">
        <f t="shared" ref="AJ49:AJ50" si="40">(AH49*$AY49)*0.0000258</f>
        <v>21.788355919354832</v>
      </c>
      <c r="AK49" s="189">
        <f t="shared" ref="AK49:AM50" si="41">T49-AH49</f>
        <v>9708.5145837357595</v>
      </c>
      <c r="AL49" s="304">
        <f t="shared" ref="AL49" si="42">U49-AI49</f>
        <v>16.010239903225823</v>
      </c>
      <c r="AM49" s="305">
        <f>V49-AJ49</f>
        <v>3.2279045806451698</v>
      </c>
      <c r="AO49" s="323">
        <f>IFERROR(VLOOKUP(G49,係数!$B$3:$I$30,7,FALSE),0)</f>
        <v>2.5026833333333335E-3</v>
      </c>
      <c r="AP49" s="11" t="str">
        <f>IFERROR(VLOOKUP(G49,係数!$B$3:$I$30,8,FALSE),"")</f>
        <v>tCO2/L</v>
      </c>
      <c r="AQ49" s="11" t="str">
        <f>IFERROR(VLOOKUP(G49,係数!$B$3:$I$30,4,FALSE),"")</f>
        <v>L</v>
      </c>
      <c r="AR49" s="11">
        <f>IFERROR(VLOOKUP(G49,エネルギー使用量!$C$6:$I$10,7,FALSE),0)</f>
        <v>0</v>
      </c>
      <c r="AS49" s="11">
        <f>IFERROR(VLOOKUP(G49,係数!$B$3:$I$30,2,FALSE),0)</f>
        <v>36.5</v>
      </c>
      <c r="AT49" s="11">
        <f>IF(G49="電気",3.6,AS49)</f>
        <v>36.5</v>
      </c>
      <c r="AU49" s="11">
        <f>IFERROR(VLOOKUP(Z49,係数!$B$3:$I$30,7,FALSE),0)</f>
        <v>2.99431E-3</v>
      </c>
      <c r="AV49" s="11" t="str">
        <f>IFERROR(VLOOKUP(Z49,係数!$B$3:$I$30,8,FALSE),"")</f>
        <v>tCO2/kg</v>
      </c>
      <c r="AW49" s="11" t="str">
        <f>IFERROR(VLOOKUP(Z49,係数!$B$3:$I$30,4,FALSE),"")</f>
        <v>kg</v>
      </c>
      <c r="AX49" s="11">
        <f>IFERROR(VLOOKUP(Z49,エネルギー使用量!$C$6:$I$10,7,FALSE),0)</f>
        <v>0</v>
      </c>
      <c r="AY49" s="11">
        <f>IFERROR(VLOOKUP(Z49,係数!$B$3:$I$30,2,FALSE),0)</f>
        <v>50.1</v>
      </c>
      <c r="AZ49" s="11">
        <f t="shared" si="25"/>
        <v>50.1</v>
      </c>
    </row>
    <row r="50" spans="2:52">
      <c r="B50" s="100" t="s">
        <v>140</v>
      </c>
      <c r="C50" s="532" t="s">
        <v>1021</v>
      </c>
      <c r="D50" s="532">
        <v>1</v>
      </c>
      <c r="E50" s="423" t="s">
        <v>1012</v>
      </c>
      <c r="F50" s="532"/>
      <c r="G50" s="533" t="s">
        <v>388</v>
      </c>
      <c r="H50" s="148" t="str">
        <f t="shared" si="26"/>
        <v>ー</v>
      </c>
      <c r="I50" s="148">
        <f t="shared" si="33"/>
        <v>0.1</v>
      </c>
      <c r="J50" s="534">
        <v>26.5</v>
      </c>
      <c r="K50" s="535" t="s">
        <v>379</v>
      </c>
      <c r="L50" s="536">
        <v>0.998</v>
      </c>
      <c r="M50" s="532">
        <v>2.5</v>
      </c>
      <c r="N50" s="149" t="str">
        <f>AQ50</f>
        <v>kg</v>
      </c>
      <c r="O50" s="537">
        <v>0.35</v>
      </c>
      <c r="P50" s="532">
        <v>10</v>
      </c>
      <c r="Q50" s="532">
        <v>355</v>
      </c>
      <c r="R50" s="32">
        <f t="shared" si="34"/>
        <v>3550</v>
      </c>
      <c r="S50" s="185">
        <f>IF(L50&gt;0,M50*L50*O50*AS50*D50,0)</f>
        <v>43.749825000000001</v>
      </c>
      <c r="T50" s="32">
        <f>IF(R50=0,0,IF(E50="給湯器（HP）",M50*D50*R50*O50*H50,M50*D50*R50*O50/(1-I50)))</f>
        <v>3451.3888888888887</v>
      </c>
      <c r="U50" s="58">
        <f t="shared" ref="U50" si="43">T50*AO50</f>
        <v>10.334528263888888</v>
      </c>
      <c r="V50" s="189">
        <f t="shared" si="35"/>
        <v>4.4611962499999995</v>
      </c>
      <c r="W50" s="532" t="s">
        <v>1029</v>
      </c>
      <c r="X50" s="532">
        <v>3</v>
      </c>
      <c r="Y50" s="423" t="s">
        <v>385</v>
      </c>
      <c r="Z50" s="533" t="s">
        <v>1026</v>
      </c>
      <c r="AA50" s="534">
        <v>7.2</v>
      </c>
      <c r="AB50" s="535" t="s">
        <v>379</v>
      </c>
      <c r="AC50" s="536">
        <f>7.2/1.67</f>
        <v>4.3113772455089823</v>
      </c>
      <c r="AD50" s="187">
        <f t="shared" si="36"/>
        <v>0.91172765985324966</v>
      </c>
      <c r="AE50" s="149" t="str">
        <f t="shared" si="37"/>
        <v>kWh</v>
      </c>
      <c r="AF50" s="32">
        <f>R50</f>
        <v>3550</v>
      </c>
      <c r="AG50" s="406">
        <f>IF(OR(X50="",AA50=""),0,O50*(J50*D50)/(AA50*X50))</f>
        <v>0.42939814814814803</v>
      </c>
      <c r="AH50" s="32">
        <f t="shared" si="38"/>
        <v>4169.4128972559793</v>
      </c>
      <c r="AI50" s="58">
        <f t="shared" si="39"/>
        <v>1.797016958717327</v>
      </c>
      <c r="AJ50" s="189">
        <f t="shared" si="40"/>
        <v>0.92941216775312496</v>
      </c>
      <c r="AK50" s="189">
        <f t="shared" si="41"/>
        <v>-718.02400836709057</v>
      </c>
      <c r="AL50" s="304">
        <f t="shared" si="41"/>
        <v>8.5375113051715612</v>
      </c>
      <c r="AM50" s="305">
        <f t="shared" si="41"/>
        <v>3.5317840822468747</v>
      </c>
      <c r="AO50" s="323">
        <f>IFERROR(VLOOKUP(G50,係数!$B$3:$I$30,7,FALSE),0)</f>
        <v>2.99431E-3</v>
      </c>
      <c r="AP50" s="11" t="str">
        <f>IFERROR(VLOOKUP(G50,係数!$B$3:$I$30,8,FALSE),"")</f>
        <v>tCO2/kg</v>
      </c>
      <c r="AQ50" s="11" t="str">
        <f>IFERROR(VLOOKUP(G50,係数!$B$3:$I$30,4,FALSE),"")</f>
        <v>kg</v>
      </c>
      <c r="AR50" s="11">
        <f>IFERROR(VLOOKUP(G50,エネルギー使用量!$C$6:$I$10,7,FALSE),0)</f>
        <v>0</v>
      </c>
      <c r="AS50" s="11">
        <f>IFERROR(VLOOKUP(G50,係数!$B$3:$I$30,2,FALSE),0)</f>
        <v>50.1</v>
      </c>
      <c r="AT50" s="11">
        <f>IF(G50="電気",3.6,AS50)</f>
        <v>50.1</v>
      </c>
      <c r="AU50" s="11">
        <f>IFERROR(VLOOKUP(Z50,係数!$B$3:$I$30,7,FALSE),0)</f>
        <v>4.3100000000000001E-4</v>
      </c>
      <c r="AV50" s="11" t="str">
        <f>IFERROR(VLOOKUP(Z50,係数!$B$3:$I$30,8,FALSE),"")</f>
        <v>tCO2/kWh</v>
      </c>
      <c r="AW50" s="11" t="str">
        <f>IFERROR(VLOOKUP(Z50,係数!$B$3:$I$30,4,FALSE),"")</f>
        <v>kWh</v>
      </c>
      <c r="AX50" s="11">
        <f>IFERROR(VLOOKUP(Z50,エネルギー使用量!$C$6:$I$10,7,FALSE),0)</f>
        <v>0</v>
      </c>
      <c r="AY50" s="11">
        <f>IFERROR(VLOOKUP(Z50,係数!$B$3:$I$30,2,FALSE),0)</f>
        <v>8.64</v>
      </c>
      <c r="AZ50" s="11">
        <f t="shared" ref="AZ50" si="44">IF(Z50="電気",3.6,AY50)</f>
        <v>3.6</v>
      </c>
    </row>
  </sheetData>
  <sheetProtection algorithmName="SHA-512" hashValue="crejAeEHwmxNeIz6KM15lkA1Kz9NUmhjO9BLCLGBLacsUu6ru+Wf9KllnBE8x4/9hHo3tqqTuI2qcfb9HBeT+g==" saltValue="/CseLJKYuCA74x4o8BTpKg==" spinCount="100000" sheet="1" formatCells="0" formatColumns="0" formatRows="0"/>
  <mergeCells count="12">
    <mergeCell ref="K9:L9"/>
    <mergeCell ref="K8:L8"/>
    <mergeCell ref="K7:L7"/>
    <mergeCell ref="K3:T3"/>
    <mergeCell ref="K4:T4"/>
    <mergeCell ref="K6:T6"/>
    <mergeCell ref="O7:T9"/>
    <mergeCell ref="B4:C4"/>
    <mergeCell ref="B5:C5"/>
    <mergeCell ref="B6:C6"/>
    <mergeCell ref="B42:B43"/>
    <mergeCell ref="B18:B19"/>
  </mergeCells>
  <phoneticPr fontId="6"/>
  <conditionalFormatting sqref="J5">
    <cfRule type="expression" dxfId="51" priority="37">
      <formula>$E$1="なし"</formula>
    </cfRule>
  </conditionalFormatting>
  <conditionalFormatting sqref="E6">
    <cfRule type="expression" dxfId="50" priority="36">
      <formula>$E$1="なし"</formula>
    </cfRule>
  </conditionalFormatting>
  <conditionalFormatting sqref="F6">
    <cfRule type="expression" dxfId="49" priority="35">
      <formula>$E$1="なし"</formula>
    </cfRule>
  </conditionalFormatting>
  <conditionalFormatting sqref="AC22:AC31 AM22:AM31 AJ22:AK31">
    <cfRule type="expression" dxfId="48" priority="33">
      <formula>$D$1="なし"</formula>
    </cfRule>
  </conditionalFormatting>
  <conditionalFormatting sqref="Z22:Z31">
    <cfRule type="expression" dxfId="47" priority="32">
      <formula>$D$1="なし"</formula>
    </cfRule>
  </conditionalFormatting>
  <conditionalFormatting sqref="AE22:AE31">
    <cfRule type="expression" dxfId="46" priority="29">
      <formula>$D$1="なし"</formula>
    </cfRule>
  </conditionalFormatting>
  <conditionalFormatting sqref="AA22:AA31">
    <cfRule type="expression" dxfId="45" priority="24">
      <formula>$D$1="なし"</formula>
    </cfRule>
  </conditionalFormatting>
  <conditionalFormatting sqref="M9">
    <cfRule type="cellIs" dxfId="44" priority="23" operator="greaterThan">
      <formula>$M$8</formula>
    </cfRule>
  </conditionalFormatting>
  <conditionalFormatting sqref="N9">
    <cfRule type="cellIs" dxfId="43" priority="22" operator="greaterThan">
      <formula>$N$8</formula>
    </cfRule>
  </conditionalFormatting>
  <conditionalFormatting sqref="O7">
    <cfRule type="cellIs" dxfId="42" priority="21" operator="notEqual">
      <formula>"ー"</formula>
    </cfRule>
  </conditionalFormatting>
  <conditionalFormatting sqref="F22:F31 F49">
    <cfRule type="expression" dxfId="41" priority="20">
      <formula>$E22&lt;&gt;"給湯器（HP）"</formula>
    </cfRule>
  </conditionalFormatting>
  <conditionalFormatting sqref="AC46:AC48 AM46:AM48 AJ46:AK48">
    <cfRule type="expression" dxfId="40" priority="18">
      <formula>$D$1="なし"</formula>
    </cfRule>
  </conditionalFormatting>
  <conditionalFormatting sqref="Z46:Z48">
    <cfRule type="expression" dxfId="39" priority="17">
      <formula>$D$1="なし"</formula>
    </cfRule>
  </conditionalFormatting>
  <conditionalFormatting sqref="AE46:AE48">
    <cfRule type="expression" dxfId="38" priority="16">
      <formula>$D$1="なし"</formula>
    </cfRule>
  </conditionalFormatting>
  <conditionalFormatting sqref="AA46:AA48">
    <cfRule type="expression" dxfId="37" priority="15">
      <formula>$D$1="なし"</formula>
    </cfRule>
  </conditionalFormatting>
  <conditionalFormatting sqref="F46:F48">
    <cfRule type="expression" dxfId="36" priority="14">
      <formula>$E46&lt;&gt;"給湯器（HP）"</formula>
    </cfRule>
  </conditionalFormatting>
  <conditionalFormatting sqref="AC49 AM49 AJ49:AK49">
    <cfRule type="expression" dxfId="35" priority="13">
      <formula>$D$1="なし"</formula>
    </cfRule>
  </conditionalFormatting>
  <conditionalFormatting sqref="Z49">
    <cfRule type="expression" dxfId="34" priority="12">
      <formula>$D$1="なし"</formula>
    </cfRule>
  </conditionalFormatting>
  <conditionalFormatting sqref="AE49">
    <cfRule type="expression" dxfId="33" priority="11">
      <formula>$D$1="なし"</formula>
    </cfRule>
  </conditionalFormatting>
  <conditionalFormatting sqref="AA49">
    <cfRule type="expression" dxfId="32" priority="10">
      <formula>$D$1="なし"</formula>
    </cfRule>
  </conditionalFormatting>
  <conditionalFormatting sqref="AC50 AM50 AJ50:AK50">
    <cfRule type="expression" dxfId="31" priority="7">
      <formula>$D$1="なし"</formula>
    </cfRule>
  </conditionalFormatting>
  <conditionalFormatting sqref="Z50">
    <cfRule type="expression" dxfId="30" priority="6">
      <formula>$D$1="なし"</formula>
    </cfRule>
  </conditionalFormatting>
  <conditionalFormatting sqref="AE50">
    <cfRule type="expression" dxfId="29" priority="5">
      <formula>$D$1="なし"</formula>
    </cfRule>
  </conditionalFormatting>
  <conditionalFormatting sqref="AA50">
    <cfRule type="expression" dxfId="28" priority="4">
      <formula>$D$1="なし"</formula>
    </cfRule>
  </conditionalFormatting>
  <conditionalFormatting sqref="F50">
    <cfRule type="expression" dxfId="27" priority="3">
      <formula>$E50&lt;&gt;"給湯器（HP）"</formula>
    </cfRule>
  </conditionalFormatting>
  <dataValidations count="2">
    <dataValidation type="list" allowBlank="1" showInputMessage="1" showErrorMessage="1" sqref="E22:E31 Y22:Y31 Y46:Y50 E46:E50">
      <formula1>"ボイラー,給湯器（加熱式）,給湯器（HP）"</formula1>
    </dataValidation>
    <dataValidation type="list" allowBlank="1" showInputMessage="1" showErrorMessage="1" sqref="AB22:AB31 K22:K31 K46:K50 AB46:AB50">
      <formula1>"t/h,kW"</formula1>
    </dataValidation>
  </dataValidations>
  <hyperlinks>
    <hyperlink ref="S12" display="https://www.enecho.meti.go.jp/category/saving_and_new/saving/enterprise/equipment/"/>
    <hyperlink ref="S13" location="search" display="https://sii.or.jp/setsubi05r/search/maker?tab=maker&amp;category=led_light#search"/>
  </hyperlinks>
  <pageMargins left="0.70866141732283472" right="0.70866141732283472" top="0.74803149606299213" bottom="0.74803149606299213" header="0.31496062992125984" footer="0.31496062992125984"/>
  <pageSetup paperSize="8" scale="80" fitToHeight="0" orientation="landscape"/>
  <ignoredErrors>
    <ignoredError sqref="L48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係数!$B$3:$B$30</xm:f>
          </x14:formula1>
          <xm:sqref>Z22:Z31 G22:G31 G46:G50 Z46:Z50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zoomScaleNormal="100" workbookViewId="0">
      <selection activeCell="C20" sqref="C20"/>
    </sheetView>
  </sheetViews>
  <sheetFormatPr defaultRowHeight="18"/>
  <cols>
    <col min="1" max="1" width="3.58203125" style="14" customWidth="1"/>
    <col min="2" max="2" width="10.08203125" style="14" customWidth="1"/>
    <col min="3" max="3" width="16.6640625" style="14" customWidth="1"/>
    <col min="4" max="6" width="9.1640625" style="14" customWidth="1"/>
    <col min="7" max="7" width="9.1640625" style="90" customWidth="1"/>
    <col min="8" max="9" width="9.1640625" style="14" customWidth="1"/>
    <col min="10" max="10" width="9.1640625" style="14" hidden="1" customWidth="1"/>
    <col min="11" max="11" width="9.1640625" style="14" customWidth="1"/>
    <col min="12" max="12" width="9" style="14" customWidth="1"/>
    <col min="13" max="13" width="8.9140625" style="14" customWidth="1"/>
    <col min="14" max="17" width="9.1640625" style="14" customWidth="1"/>
    <col min="18" max="18" width="16.6640625" style="14" customWidth="1"/>
    <col min="19" max="24" width="9.1640625" style="14" customWidth="1"/>
    <col min="25" max="25" width="9.1640625" style="14" hidden="1" customWidth="1"/>
    <col min="26" max="28" width="9.1640625" style="14" customWidth="1"/>
    <col min="29" max="29" width="8.9140625" style="14" customWidth="1"/>
    <col min="30" max="33" width="9.1640625" style="14" customWidth="1"/>
    <col min="34" max="16384" width="8.6640625" style="14"/>
  </cols>
  <sheetData>
    <row r="1" spans="1:33" ht="29">
      <c r="A1" s="13" t="str">
        <f>照明!A1</f>
        <v>令和7年度：排出量削減効果算定シート</v>
      </c>
      <c r="F1" s="22"/>
      <c r="G1" s="271"/>
      <c r="H1" s="22"/>
      <c r="I1" s="409"/>
      <c r="J1" s="22"/>
      <c r="K1" s="22"/>
      <c r="L1" s="410"/>
      <c r="M1" s="22"/>
      <c r="N1" s="22"/>
    </row>
    <row r="2" spans="1:33" ht="29">
      <c r="A2" s="13" t="s">
        <v>394</v>
      </c>
      <c r="G2" s="14"/>
    </row>
    <row r="3" spans="1:33" ht="22.5">
      <c r="B3" s="259" t="s">
        <v>928</v>
      </c>
      <c r="E3" s="90"/>
      <c r="G3" s="14"/>
      <c r="H3" s="19"/>
      <c r="I3" s="19"/>
      <c r="J3" s="438"/>
      <c r="L3" s="628" t="str">
        <f>IF(OR(L7="",L7="なし"),"特記事項","特記事項（記載必須）")</f>
        <v>特記事項</v>
      </c>
      <c r="M3" s="629"/>
      <c r="N3" s="629"/>
      <c r="O3" s="629"/>
      <c r="P3" s="629"/>
      <c r="Q3" s="629"/>
      <c r="R3" s="629"/>
      <c r="S3" s="629"/>
      <c r="T3" s="629"/>
      <c r="U3" s="630"/>
    </row>
    <row r="4" spans="1:33">
      <c r="B4" s="649" t="s">
        <v>20</v>
      </c>
      <c r="C4" s="650"/>
      <c r="D4" s="100" t="s">
        <v>21</v>
      </c>
      <c r="E4" s="404" t="s">
        <v>22</v>
      </c>
      <c r="F4" s="404" t="s">
        <v>23</v>
      </c>
      <c r="G4" s="404" t="s">
        <v>24</v>
      </c>
      <c r="H4" s="19"/>
      <c r="I4" s="19"/>
      <c r="J4" s="539"/>
      <c r="L4" s="664" t="s">
        <v>1038</v>
      </c>
      <c r="M4" s="665"/>
      <c r="N4" s="665"/>
      <c r="O4" s="665"/>
      <c r="P4" s="665"/>
      <c r="Q4" s="665"/>
      <c r="R4" s="665"/>
      <c r="S4" s="665"/>
      <c r="T4" s="665"/>
      <c r="U4" s="666"/>
    </row>
    <row r="5" spans="1:33">
      <c r="B5" s="651" t="s">
        <v>100</v>
      </c>
      <c r="C5" s="652"/>
      <c r="D5" s="402" t="s">
        <v>19</v>
      </c>
      <c r="E5" s="74">
        <f>O19</f>
        <v>0</v>
      </c>
      <c r="F5" s="74">
        <f>AB19</f>
        <v>0</v>
      </c>
      <c r="G5" s="74">
        <f>AE19</f>
        <v>0</v>
      </c>
      <c r="H5" s="19"/>
      <c r="I5" s="19"/>
      <c r="J5" s="539"/>
      <c r="M5" s="19"/>
      <c r="O5" s="447"/>
      <c r="P5" s="447"/>
      <c r="Q5" s="447"/>
      <c r="R5" s="447"/>
      <c r="S5" s="447"/>
      <c r="T5" s="447"/>
      <c r="U5" s="447"/>
      <c r="V5" s="447"/>
      <c r="W5" s="447"/>
      <c r="X5" s="447"/>
    </row>
    <row r="6" spans="1:33">
      <c r="B6" s="651" t="s">
        <v>3</v>
      </c>
      <c r="C6" s="652"/>
      <c r="D6" s="101" t="s">
        <v>8</v>
      </c>
      <c r="E6" s="75">
        <f>P19</f>
        <v>0</v>
      </c>
      <c r="F6" s="75">
        <f>AC19</f>
        <v>0</v>
      </c>
      <c r="G6" s="381">
        <f>AF19</f>
        <v>0</v>
      </c>
      <c r="H6" s="19"/>
      <c r="I6" s="19"/>
      <c r="J6" s="539"/>
      <c r="L6" s="654" t="s">
        <v>368</v>
      </c>
      <c r="M6" s="654"/>
      <c r="N6" s="654"/>
      <c r="O6" s="654"/>
      <c r="P6" s="654"/>
      <c r="Q6" s="654"/>
      <c r="R6" s="654"/>
      <c r="S6" s="654"/>
      <c r="T6" s="654"/>
      <c r="U6" s="654"/>
    </row>
    <row r="7" spans="1:33">
      <c r="B7" s="651" t="s">
        <v>1117</v>
      </c>
      <c r="C7" s="652"/>
      <c r="D7" s="402" t="s">
        <v>29</v>
      </c>
      <c r="E7" s="112">
        <f>Q19</f>
        <v>0</v>
      </c>
      <c r="F7" s="112">
        <f>AD19</f>
        <v>0</v>
      </c>
      <c r="G7" s="337">
        <f>AG19</f>
        <v>0</v>
      </c>
      <c r="H7" s="324"/>
      <c r="I7" s="325"/>
      <c r="J7" s="509"/>
      <c r="L7" s="30" t="str">
        <f>IF(OR(F19=0,U19=0),"",IF(F19=U19,"なし",IF(F19&gt;U19,"減少","増加")))</f>
        <v/>
      </c>
      <c r="M7" s="667" t="str">
        <f>IF(OR(L7="",L7="なし"),"ー",IF(L7="減少","減少する理由を特記事項欄に記載してください。","やむを得ず増加する場合は特記事項欄に理由を記載してください。(要根拠資料提出)"))</f>
        <v>ー</v>
      </c>
      <c r="N7" s="667"/>
      <c r="O7" s="667"/>
      <c r="P7" s="667"/>
      <c r="Q7" s="667"/>
      <c r="R7" s="667"/>
      <c r="S7" s="667"/>
      <c r="T7" s="667"/>
      <c r="U7" s="667"/>
    </row>
    <row r="8" spans="1:33">
      <c r="B8" s="453" t="s">
        <v>1050</v>
      </c>
      <c r="G8" s="14"/>
    </row>
    <row r="9" spans="1:33" ht="18.5" thickBot="1"/>
    <row r="10" spans="1:33">
      <c r="G10" s="14"/>
      <c r="L10" s="454" t="s">
        <v>886</v>
      </c>
      <c r="M10" s="455"/>
      <c r="N10" s="455"/>
      <c r="O10" s="455"/>
      <c r="P10" s="316"/>
      <c r="Q10" s="510" t="s">
        <v>878</v>
      </c>
      <c r="R10" s="511"/>
      <c r="S10" s="511"/>
      <c r="T10" s="511"/>
      <c r="U10" s="511"/>
      <c r="V10" s="143"/>
      <c r="W10" s="318"/>
      <c r="X10" s="319"/>
    </row>
    <row r="11" spans="1:33" ht="18.5" thickBot="1">
      <c r="G11" s="14"/>
      <c r="L11" s="540" t="s">
        <v>887</v>
      </c>
      <c r="M11" s="541"/>
      <c r="N11" s="541"/>
      <c r="O11" s="541"/>
      <c r="P11" s="332"/>
      <c r="Q11" s="542" t="s">
        <v>880</v>
      </c>
      <c r="R11" s="543"/>
      <c r="S11" s="543"/>
      <c r="T11" s="543"/>
      <c r="U11" s="543"/>
      <c r="V11" s="199"/>
      <c r="W11" s="333"/>
      <c r="X11" s="334"/>
    </row>
    <row r="12" spans="1:33">
      <c r="B12" s="54"/>
      <c r="G12" s="14"/>
      <c r="L12" s="544"/>
      <c r="M12" s="544"/>
      <c r="N12" s="544"/>
      <c r="O12" s="544"/>
      <c r="P12" s="544"/>
      <c r="Q12" s="545"/>
      <c r="R12" s="544"/>
      <c r="S12" s="335"/>
      <c r="T12" s="545"/>
      <c r="U12" s="545"/>
      <c r="V12" s="545"/>
      <c r="W12" s="545"/>
      <c r="X12" s="545"/>
    </row>
    <row r="13" spans="1:33">
      <c r="B13" s="54"/>
    </row>
    <row r="14" spans="1:33">
      <c r="B14" s="54"/>
    </row>
    <row r="15" spans="1:33">
      <c r="B15" s="467" t="str">
        <f>HYPERLINK("#B67", "【記入例：B41】ハイパーリンク")</f>
        <v>【記入例：B41】ハイパーリンク</v>
      </c>
      <c r="G15" s="14"/>
      <c r="O15" s="50"/>
    </row>
    <row r="16" spans="1:33">
      <c r="B16" s="610" t="s">
        <v>20</v>
      </c>
      <c r="C16" s="116" t="s">
        <v>22</v>
      </c>
      <c r="D16" s="115"/>
      <c r="E16" s="115"/>
      <c r="F16" s="546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07"/>
      <c r="R16" s="116" t="s">
        <v>23</v>
      </c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07"/>
      <c r="AE16" s="116" t="s">
        <v>31</v>
      </c>
      <c r="AF16" s="115"/>
      <c r="AG16" s="107"/>
    </row>
    <row r="17" spans="2:33" ht="54">
      <c r="B17" s="644"/>
      <c r="C17" s="175" t="s">
        <v>892</v>
      </c>
      <c r="D17" s="547" t="s">
        <v>946</v>
      </c>
      <c r="E17" s="175" t="s">
        <v>159</v>
      </c>
      <c r="F17" s="403" t="s">
        <v>160</v>
      </c>
      <c r="G17" s="175" t="s">
        <v>161</v>
      </c>
      <c r="H17" s="175" t="s">
        <v>162</v>
      </c>
      <c r="I17" s="175" t="s">
        <v>163</v>
      </c>
      <c r="J17" s="175" t="s">
        <v>164</v>
      </c>
      <c r="K17" s="175" t="s">
        <v>365</v>
      </c>
      <c r="L17" s="175" t="s">
        <v>1131</v>
      </c>
      <c r="M17" s="175" t="s">
        <v>39</v>
      </c>
      <c r="N17" s="547" t="s">
        <v>1132</v>
      </c>
      <c r="O17" s="175" t="s">
        <v>35</v>
      </c>
      <c r="P17" s="175" t="s">
        <v>165</v>
      </c>
      <c r="Q17" s="320" t="s">
        <v>1117</v>
      </c>
      <c r="R17" s="175" t="s">
        <v>892</v>
      </c>
      <c r="S17" s="547" t="s">
        <v>947</v>
      </c>
      <c r="T17" s="175" t="s">
        <v>159</v>
      </c>
      <c r="U17" s="175" t="s">
        <v>166</v>
      </c>
      <c r="V17" s="175" t="s">
        <v>161</v>
      </c>
      <c r="W17" s="175" t="s">
        <v>167</v>
      </c>
      <c r="X17" s="175" t="s">
        <v>168</v>
      </c>
      <c r="Y17" s="175" t="s">
        <v>169</v>
      </c>
      <c r="Z17" s="175" t="s">
        <v>365</v>
      </c>
      <c r="AA17" s="547" t="s">
        <v>1133</v>
      </c>
      <c r="AB17" s="175" t="s">
        <v>40</v>
      </c>
      <c r="AC17" s="175" t="s">
        <v>170</v>
      </c>
      <c r="AD17" s="320" t="s">
        <v>1117</v>
      </c>
      <c r="AE17" s="175" t="s">
        <v>171</v>
      </c>
      <c r="AF17" s="175" t="s">
        <v>172</v>
      </c>
      <c r="AG17" s="403" t="s">
        <v>1049</v>
      </c>
    </row>
    <row r="18" spans="2:33">
      <c r="B18" s="102" t="s">
        <v>21</v>
      </c>
      <c r="C18" s="236"/>
      <c r="D18" s="404" t="s">
        <v>870</v>
      </c>
      <c r="E18" s="236"/>
      <c r="F18" s="404" t="s">
        <v>361</v>
      </c>
      <c r="G18" s="404" t="s">
        <v>871</v>
      </c>
      <c r="H18" s="404" t="s">
        <v>362</v>
      </c>
      <c r="I18" s="404" t="s">
        <v>107</v>
      </c>
      <c r="J18" s="404" t="s">
        <v>872</v>
      </c>
      <c r="K18" s="236"/>
      <c r="L18" s="404" t="s">
        <v>867</v>
      </c>
      <c r="M18" s="404" t="s">
        <v>868</v>
      </c>
      <c r="N18" s="404" t="s">
        <v>173</v>
      </c>
      <c r="O18" s="404" t="s">
        <v>19</v>
      </c>
      <c r="P18" s="403" t="s">
        <v>8</v>
      </c>
      <c r="Q18" s="321" t="s">
        <v>761</v>
      </c>
      <c r="R18" s="236"/>
      <c r="S18" s="402" t="s">
        <v>870</v>
      </c>
      <c r="T18" s="141"/>
      <c r="U18" s="402" t="s">
        <v>17</v>
      </c>
      <c r="V18" s="402" t="s">
        <v>871</v>
      </c>
      <c r="W18" s="402" t="s">
        <v>18</v>
      </c>
      <c r="X18" s="402" t="s">
        <v>107</v>
      </c>
      <c r="Y18" s="402" t="s">
        <v>872</v>
      </c>
      <c r="Z18" s="141"/>
      <c r="AA18" s="402" t="s">
        <v>173</v>
      </c>
      <c r="AB18" s="402" t="s">
        <v>19</v>
      </c>
      <c r="AC18" s="101" t="s">
        <v>8</v>
      </c>
      <c r="AD18" s="321" t="s">
        <v>761</v>
      </c>
      <c r="AE18" s="402" t="s">
        <v>19</v>
      </c>
      <c r="AF18" s="101" t="s">
        <v>8</v>
      </c>
      <c r="AG18" s="402" t="s">
        <v>761</v>
      </c>
    </row>
    <row r="19" spans="2:33">
      <c r="B19" s="166" t="s">
        <v>16</v>
      </c>
      <c r="C19" s="476"/>
      <c r="D19" s="86">
        <f>SUM(D20:D39)</f>
        <v>0</v>
      </c>
      <c r="E19" s="476"/>
      <c r="F19" s="548">
        <f>SUMPRODUCT(D20:D39*F20:F39)</f>
        <v>0</v>
      </c>
      <c r="G19" s="476"/>
      <c r="H19" s="476"/>
      <c r="I19" s="476"/>
      <c r="J19" s="476"/>
      <c r="K19" s="476"/>
      <c r="L19" s="548"/>
      <c r="M19" s="548"/>
      <c r="N19" s="549">
        <f>SUM(N20:N39)</f>
        <v>0</v>
      </c>
      <c r="O19" s="371">
        <f>SUM(O20:O39)</f>
        <v>0</v>
      </c>
      <c r="P19" s="372">
        <f>SUM(P20:P39)</f>
        <v>0</v>
      </c>
      <c r="Q19" s="373">
        <f>SUM(Q20:Q39)</f>
        <v>0</v>
      </c>
      <c r="R19" s="360"/>
      <c r="S19" s="86">
        <f>SUM(S20:S39)</f>
        <v>0</v>
      </c>
      <c r="T19" s="476"/>
      <c r="U19" s="550">
        <f>SUMPRODUCT(S20:S39*U20:U39)</f>
        <v>0</v>
      </c>
      <c r="V19" s="476"/>
      <c r="W19" s="476"/>
      <c r="X19" s="476"/>
      <c r="Y19" s="551"/>
      <c r="Z19" s="476"/>
      <c r="AA19" s="86">
        <f t="shared" ref="AA19:AG19" si="0">SUM(AA20:AA39)</f>
        <v>0</v>
      </c>
      <c r="AB19" s="371">
        <f t="shared" si="0"/>
        <v>0</v>
      </c>
      <c r="AC19" s="374">
        <f t="shared" si="0"/>
        <v>0</v>
      </c>
      <c r="AD19" s="373">
        <f t="shared" si="0"/>
        <v>0</v>
      </c>
      <c r="AE19" s="375">
        <f t="shared" si="0"/>
        <v>0</v>
      </c>
      <c r="AF19" s="374">
        <f t="shared" si="0"/>
        <v>0</v>
      </c>
      <c r="AG19" s="376">
        <f t="shared" si="0"/>
        <v>0</v>
      </c>
    </row>
    <row r="20" spans="2:33">
      <c r="B20" s="100" t="s">
        <v>49</v>
      </c>
      <c r="C20" s="3"/>
      <c r="D20" s="3"/>
      <c r="E20" s="84"/>
      <c r="F20" s="169"/>
      <c r="G20" s="84"/>
      <c r="H20" s="553" t="str">
        <f>IF(G20="2極",AVERAGEIFS(モーター効率!$C$2:$C$122,モーター効率!$A$2:$A$122,E20,モーター効率!$B$2:$B$122,F20),IF(G20="4極",AVERAGEIFS(モーター効率!$D$2:$D$122,モーター効率!$A$2:$A$122,E20,モーター効率!$B$2:$B$122,F20),IF(G20="6極",AVERAGEIFS(モーター効率!$E$2:$E$122,モーター効率!$A$2:$A$122,E20,モーター効率!$B$2:$B$122,F20),IF(G20="8極",AVERAGEIFS(モーター効率!$F$2:$F$122,モーター効率!$A$2:$A$122,E20,モーター効率!$B$2:$B$122,F20),""))))</f>
        <v/>
      </c>
      <c r="I20" s="164" t="str">
        <f>IF(H20="","",F20/H20)</f>
        <v/>
      </c>
      <c r="J20" s="253">
        <v>1</v>
      </c>
      <c r="K20" s="171" t="s">
        <v>382</v>
      </c>
      <c r="L20" s="407"/>
      <c r="M20" s="407"/>
      <c r="N20" s="566">
        <f t="shared" ref="N20:N29" si="1">L20*M20</f>
        <v>0</v>
      </c>
      <c r="O20" s="8">
        <f>IF(OR(D20="",I20="",J20="",N20=""),0,IF(K20="○",D20*I20*J20^2*N20,D20*I20*J20*N20))</f>
        <v>0</v>
      </c>
      <c r="P20" s="164">
        <f>IF(O20="","",O20*係数!$H$30)</f>
        <v>0</v>
      </c>
      <c r="Q20" s="556">
        <f>O20*係数!$C$30*0.0000258</f>
        <v>0</v>
      </c>
      <c r="R20" s="183"/>
      <c r="S20" s="3"/>
      <c r="T20" s="84"/>
      <c r="U20" s="170"/>
      <c r="V20" s="84"/>
      <c r="W20" s="553" t="str">
        <f>IF(V20="2極",AVERAGEIFS(モーター効率!$C$2:$C$122,モーター効率!$A$2:$A$122,T20,モーター効率!$B$2:$B$122,U20),IF(V20="4極",AVERAGEIFS(モーター効率!$D$2:$D$122,モーター効率!$A$2:$A$122,T20,モーター効率!$B$2:$B$122,U20),IF(V20="6極",AVERAGEIFS(モーター効率!$E$2:$E$122,モーター効率!$A$2:$A$122,T20,モーター効率!$B$2:$B$122,U20),IF(V20="8極",AVERAGEIFS(モーター効率!$F$2:$F$122,モーター効率!$A$2:$A$122,T20,モーター効率!$B$2:$B$122,U20),""))))</f>
        <v/>
      </c>
      <c r="X20" s="164" t="str">
        <f t="shared" ref="X20:X29" si="2">IF(W20="","",U20/W20)</f>
        <v/>
      </c>
      <c r="Y20" s="253">
        <v>1</v>
      </c>
      <c r="Z20" s="171" t="s">
        <v>382</v>
      </c>
      <c r="AA20" s="604">
        <f>IF(N20="","",N20)</f>
        <v>0</v>
      </c>
      <c r="AB20" s="8">
        <f>IF(OR(S20="",X20="",Y20="",AA20=""),0,IF(Z20="○",S20*X20*Y20^2*AA20,S20*X20*Y20*AA20))</f>
        <v>0</v>
      </c>
      <c r="AC20" s="152">
        <f>IF(AB20="","",AB20*係数!$H$30)</f>
        <v>0</v>
      </c>
      <c r="AD20" s="556">
        <f>AB20*係数!$C$30*0.0000258</f>
        <v>0</v>
      </c>
      <c r="AE20" s="560">
        <f t="shared" ref="AE20:AE29" si="3">IF(OR(O20="",AB20=""),"",O20-AB20)</f>
        <v>0</v>
      </c>
      <c r="AF20" s="273">
        <f t="shared" ref="AF20:AF29" si="4">P20-AC20</f>
        <v>0</v>
      </c>
      <c r="AG20" s="561">
        <f t="shared" ref="AG20:AG29" si="5">Q20-AD20</f>
        <v>0</v>
      </c>
    </row>
    <row r="21" spans="2:33">
      <c r="B21" s="100" t="s">
        <v>50</v>
      </c>
      <c r="C21" s="3"/>
      <c r="D21" s="3"/>
      <c r="E21" s="84"/>
      <c r="F21" s="169"/>
      <c r="G21" s="84"/>
      <c r="H21" s="553" t="str">
        <f>IF(G21="2極",AVERAGEIFS(モーター効率!$C$2:$C$122,モーター効率!$A$2:$A$122,E21,モーター効率!$B$2:$B$122,F21),IF(G21="4極",AVERAGEIFS(モーター効率!$D$2:$D$122,モーター効率!$A$2:$A$122,E21,モーター効率!$B$2:$B$122,F21),IF(G21="6極",AVERAGEIFS(モーター効率!$E$2:$E$122,モーター効率!$A$2:$A$122,E21,モーター効率!$B$2:$B$122,F21),IF(G21="8極",AVERAGEIFS(モーター効率!$F$2:$F$122,モーター効率!$A$2:$A$122,E21,モーター効率!$B$2:$B$122,F21),""))))</f>
        <v/>
      </c>
      <c r="I21" s="164" t="str">
        <f>IF(H21="","",F21/H21)</f>
        <v/>
      </c>
      <c r="J21" s="253">
        <v>1</v>
      </c>
      <c r="K21" s="171" t="s">
        <v>382</v>
      </c>
      <c r="L21" s="603"/>
      <c r="M21" s="603"/>
      <c r="N21" s="566">
        <f t="shared" si="1"/>
        <v>0</v>
      </c>
      <c r="O21" s="8">
        <f t="shared" ref="O21:O29" si="6">IF(OR(D21="",I21="",J21="",N21=""),0,IF(K21="○",D21*I21*J21^2*N21,D21*I21*J21*N21))</f>
        <v>0</v>
      </c>
      <c r="P21" s="164">
        <f>IF(O21="","",O21*係数!$H$30)</f>
        <v>0</v>
      </c>
      <c r="Q21" s="556">
        <f>O21*係数!$C$30*0.0000258</f>
        <v>0</v>
      </c>
      <c r="R21" s="183"/>
      <c r="S21" s="3"/>
      <c r="T21" s="84"/>
      <c r="U21" s="170"/>
      <c r="V21" s="84"/>
      <c r="W21" s="553" t="str">
        <f>IF(V21="2極",AVERAGEIFS(モーター効率!$C$2:$C$122,モーター効率!$A$2:$A$122,T21,モーター効率!$B$2:$B$122,U21),IF(V21="4極",AVERAGEIFS(モーター効率!$D$2:$D$122,モーター効率!$A$2:$A$122,T21,モーター効率!$B$2:$B$122,U21),IF(V21="6極",AVERAGEIFS(モーター効率!$E$2:$E$122,モーター効率!$A$2:$A$122,T21,モーター効率!$B$2:$B$122,U21),IF(V21="8極",AVERAGEIFS(モーター効率!$F$2:$F$122,モーター効率!$A$2:$A$122,T21,モーター効率!$B$2:$B$122,U21),""))))</f>
        <v/>
      </c>
      <c r="X21" s="164" t="str">
        <f t="shared" si="2"/>
        <v/>
      </c>
      <c r="Y21" s="253">
        <v>1</v>
      </c>
      <c r="Z21" s="171" t="s">
        <v>382</v>
      </c>
      <c r="AA21" s="604">
        <f>IF(N21="","",N21)</f>
        <v>0</v>
      </c>
      <c r="AB21" s="8">
        <f t="shared" ref="AB21:AB29" si="7">IF(OR(S21="",X21="",Y21="",AA21=""),0,IF(Z21="○",S21*X21*Y21^2*AA21,S21*X21*Y21*AA21))</f>
        <v>0</v>
      </c>
      <c r="AC21" s="152">
        <f>IF(AB21="","",AB21*係数!$H$30)</f>
        <v>0</v>
      </c>
      <c r="AD21" s="556">
        <f>AB21*係数!$C$30*0.0000258</f>
        <v>0</v>
      </c>
      <c r="AE21" s="560">
        <f t="shared" si="3"/>
        <v>0</v>
      </c>
      <c r="AF21" s="273">
        <f t="shared" si="4"/>
        <v>0</v>
      </c>
      <c r="AG21" s="561">
        <f t="shared" si="5"/>
        <v>0</v>
      </c>
    </row>
    <row r="22" spans="2:33">
      <c r="B22" s="100" t="s">
        <v>51</v>
      </c>
      <c r="C22" s="3"/>
      <c r="D22" s="3"/>
      <c r="E22" s="84"/>
      <c r="F22" s="169"/>
      <c r="G22" s="84"/>
      <c r="H22" s="553" t="str">
        <f>IF(G22="2極",AVERAGEIFS(モーター効率!$C$2:$C$122,モーター効率!$A$2:$A$122,E22,モーター効率!$B$2:$B$122,F22),IF(G22="4極",AVERAGEIFS(モーター効率!$D$2:$D$122,モーター効率!$A$2:$A$122,E22,モーター効率!$B$2:$B$122,F22),IF(G22="6極",AVERAGEIFS(モーター効率!$E$2:$E$122,モーター効率!$A$2:$A$122,E22,モーター効率!$B$2:$B$122,F22),IF(G22="8極",AVERAGEIFS(モーター効率!$F$2:$F$122,モーター効率!$A$2:$A$122,E22,モーター効率!$B$2:$B$122,F22),""))))</f>
        <v/>
      </c>
      <c r="I22" s="164" t="str">
        <f t="shared" ref="I22:I29" si="8">IF(H22="","",F22/H22)</f>
        <v/>
      </c>
      <c r="J22" s="253">
        <v>1</v>
      </c>
      <c r="K22" s="171" t="s">
        <v>382</v>
      </c>
      <c r="L22" s="603"/>
      <c r="M22" s="603"/>
      <c r="N22" s="566">
        <f t="shared" si="1"/>
        <v>0</v>
      </c>
      <c r="O22" s="8">
        <f t="shared" si="6"/>
        <v>0</v>
      </c>
      <c r="P22" s="164">
        <f>IF(O22="","",O22*係数!$H$30)</f>
        <v>0</v>
      </c>
      <c r="Q22" s="556">
        <f>O22*係数!$C$30*0.0000258</f>
        <v>0</v>
      </c>
      <c r="R22" s="183"/>
      <c r="S22" s="3"/>
      <c r="T22" s="84"/>
      <c r="U22" s="170"/>
      <c r="V22" s="84"/>
      <c r="W22" s="553" t="str">
        <f>IF(V22="2極",AVERAGEIFS(モーター効率!$C$2:$C$122,モーター効率!$A$2:$A$122,T22,モーター効率!$B$2:$B$122,U22),IF(V22="4極",AVERAGEIFS(モーター効率!$D$2:$D$122,モーター効率!$A$2:$A$122,T22,モーター効率!$B$2:$B$122,U22),IF(V22="6極",AVERAGEIFS(モーター効率!$E$2:$E$122,モーター効率!$A$2:$A$122,T22,モーター効率!$B$2:$B$122,U22),IF(V22="8極",AVERAGEIFS(モーター効率!$F$2:$F$122,モーター効率!$A$2:$A$122,T22,モーター効率!$B$2:$B$122,U22),""))))</f>
        <v/>
      </c>
      <c r="X22" s="164" t="str">
        <f t="shared" si="2"/>
        <v/>
      </c>
      <c r="Y22" s="253">
        <v>1</v>
      </c>
      <c r="Z22" s="171" t="s">
        <v>382</v>
      </c>
      <c r="AA22" s="604">
        <f t="shared" ref="AA22:AA29" si="9">IF(N22="","",N22)</f>
        <v>0</v>
      </c>
      <c r="AB22" s="8">
        <f t="shared" si="7"/>
        <v>0</v>
      </c>
      <c r="AC22" s="152">
        <f>IF(AB22="","",AB22*係数!$H$30)</f>
        <v>0</v>
      </c>
      <c r="AD22" s="556">
        <f>AB22*係数!$C$30*0.0000258</f>
        <v>0</v>
      </c>
      <c r="AE22" s="560">
        <f t="shared" si="3"/>
        <v>0</v>
      </c>
      <c r="AF22" s="273">
        <f t="shared" si="4"/>
        <v>0</v>
      </c>
      <c r="AG22" s="561">
        <f t="shared" si="5"/>
        <v>0</v>
      </c>
    </row>
    <row r="23" spans="2:33">
      <c r="B23" s="100" t="s">
        <v>52</v>
      </c>
      <c r="C23" s="3"/>
      <c r="D23" s="3"/>
      <c r="E23" s="84"/>
      <c r="F23" s="169"/>
      <c r="G23" s="84"/>
      <c r="H23" s="553" t="str">
        <f>IF(G23="2極",AVERAGEIFS(モーター効率!$C$2:$C$122,モーター効率!$A$2:$A$122,E23,モーター効率!$B$2:$B$122,F23),IF(G23="4極",AVERAGEIFS(モーター効率!$D$2:$D$122,モーター効率!$A$2:$A$122,E23,モーター効率!$B$2:$B$122,F23),IF(G23="6極",AVERAGEIFS(モーター効率!$E$2:$E$122,モーター効率!$A$2:$A$122,E23,モーター効率!$B$2:$B$122,F23),IF(G23="8極",AVERAGEIFS(モーター効率!$F$2:$F$122,モーター効率!$A$2:$A$122,E23,モーター効率!$B$2:$B$122,F23),""))))</f>
        <v/>
      </c>
      <c r="I23" s="164" t="str">
        <f t="shared" si="8"/>
        <v/>
      </c>
      <c r="J23" s="253">
        <v>1</v>
      </c>
      <c r="K23" s="171" t="s">
        <v>382</v>
      </c>
      <c r="L23" s="603"/>
      <c r="M23" s="603"/>
      <c r="N23" s="566">
        <f t="shared" si="1"/>
        <v>0</v>
      </c>
      <c r="O23" s="8">
        <f t="shared" si="6"/>
        <v>0</v>
      </c>
      <c r="P23" s="164">
        <f>IF(O23="","",O23*係数!$H$30)</f>
        <v>0</v>
      </c>
      <c r="Q23" s="556">
        <f>O23*係数!$C$30*0.0000258</f>
        <v>0</v>
      </c>
      <c r="R23" s="183"/>
      <c r="S23" s="3"/>
      <c r="T23" s="84"/>
      <c r="U23" s="170"/>
      <c r="V23" s="84"/>
      <c r="W23" s="553" t="str">
        <f>IF(V23="2極",AVERAGEIFS(モーター効率!$C$2:$C$122,モーター効率!$A$2:$A$122,T23,モーター効率!$B$2:$B$122,U23),IF(V23="4極",AVERAGEIFS(モーター効率!$D$2:$D$122,モーター効率!$A$2:$A$122,T23,モーター効率!$B$2:$B$122,U23),IF(V23="6極",AVERAGEIFS(モーター効率!$E$2:$E$122,モーター効率!$A$2:$A$122,T23,モーター効率!$B$2:$B$122,U23),IF(V23="8極",AVERAGEIFS(モーター効率!$F$2:$F$122,モーター効率!$A$2:$A$122,T23,モーター効率!$B$2:$B$122,U23),""))))</f>
        <v/>
      </c>
      <c r="X23" s="164" t="str">
        <f t="shared" si="2"/>
        <v/>
      </c>
      <c r="Y23" s="253">
        <v>1</v>
      </c>
      <c r="Z23" s="171" t="s">
        <v>382</v>
      </c>
      <c r="AA23" s="604">
        <f t="shared" si="9"/>
        <v>0</v>
      </c>
      <c r="AB23" s="8">
        <f t="shared" si="7"/>
        <v>0</v>
      </c>
      <c r="AC23" s="152">
        <f>IF(AB23="","",AB23*係数!$H$30)</f>
        <v>0</v>
      </c>
      <c r="AD23" s="556">
        <f>AB23*係数!$C$30*0.0000258</f>
        <v>0</v>
      </c>
      <c r="AE23" s="560">
        <f t="shared" si="3"/>
        <v>0</v>
      </c>
      <c r="AF23" s="273">
        <f t="shared" si="4"/>
        <v>0</v>
      </c>
      <c r="AG23" s="561">
        <f t="shared" si="5"/>
        <v>0</v>
      </c>
    </row>
    <row r="24" spans="2:33">
      <c r="B24" s="100" t="s">
        <v>53</v>
      </c>
      <c r="C24" s="3"/>
      <c r="D24" s="3"/>
      <c r="E24" s="84"/>
      <c r="F24" s="169"/>
      <c r="G24" s="84"/>
      <c r="H24" s="553" t="str">
        <f>IF(G24="2極",AVERAGEIFS(モーター効率!$C$2:$C$122,モーター効率!$A$2:$A$122,E24,モーター効率!$B$2:$B$122,F24),IF(G24="4極",AVERAGEIFS(モーター効率!$D$2:$D$122,モーター効率!$A$2:$A$122,E24,モーター効率!$B$2:$B$122,F24),IF(G24="6極",AVERAGEIFS(モーター効率!$E$2:$E$122,モーター効率!$A$2:$A$122,E24,モーター効率!$B$2:$B$122,F24),IF(G24="8極",AVERAGEIFS(モーター効率!$F$2:$F$122,モーター効率!$A$2:$A$122,E24,モーター効率!$B$2:$B$122,F24),""))))</f>
        <v/>
      </c>
      <c r="I24" s="164" t="str">
        <f t="shared" si="8"/>
        <v/>
      </c>
      <c r="J24" s="253">
        <v>1</v>
      </c>
      <c r="K24" s="171" t="s">
        <v>382</v>
      </c>
      <c r="L24" s="603"/>
      <c r="M24" s="603"/>
      <c r="N24" s="566">
        <f t="shared" si="1"/>
        <v>0</v>
      </c>
      <c r="O24" s="8">
        <f t="shared" si="6"/>
        <v>0</v>
      </c>
      <c r="P24" s="164">
        <f>IF(O24="","",O24*係数!$H$30)</f>
        <v>0</v>
      </c>
      <c r="Q24" s="556">
        <f>O24*係数!$C$30*0.0000258</f>
        <v>0</v>
      </c>
      <c r="R24" s="183"/>
      <c r="S24" s="3"/>
      <c r="T24" s="84"/>
      <c r="U24" s="170"/>
      <c r="V24" s="84"/>
      <c r="W24" s="553" t="str">
        <f>IF(V24="2極",AVERAGEIFS(モーター効率!$C$2:$C$122,モーター効率!$A$2:$A$122,T24,モーター効率!$B$2:$B$122,U24),IF(V24="4極",AVERAGEIFS(モーター効率!$D$2:$D$122,モーター効率!$A$2:$A$122,T24,モーター効率!$B$2:$B$122,U24),IF(V24="6極",AVERAGEIFS(モーター効率!$E$2:$E$122,モーター効率!$A$2:$A$122,T24,モーター効率!$B$2:$B$122,U24),IF(V24="8極",AVERAGEIFS(モーター効率!$F$2:$F$122,モーター効率!$A$2:$A$122,T24,モーター効率!$B$2:$B$122,U24),""))))</f>
        <v/>
      </c>
      <c r="X24" s="164" t="str">
        <f t="shared" si="2"/>
        <v/>
      </c>
      <c r="Y24" s="253">
        <v>1</v>
      </c>
      <c r="Z24" s="171" t="s">
        <v>382</v>
      </c>
      <c r="AA24" s="604">
        <f t="shared" si="9"/>
        <v>0</v>
      </c>
      <c r="AB24" s="8">
        <f t="shared" si="7"/>
        <v>0</v>
      </c>
      <c r="AC24" s="152">
        <f>IF(AB24="","",AB24*係数!$H$30)</f>
        <v>0</v>
      </c>
      <c r="AD24" s="556">
        <f>AB24*係数!$C$30*0.0000258</f>
        <v>0</v>
      </c>
      <c r="AE24" s="560">
        <f t="shared" si="3"/>
        <v>0</v>
      </c>
      <c r="AF24" s="273">
        <f t="shared" si="4"/>
        <v>0</v>
      </c>
      <c r="AG24" s="561">
        <f t="shared" si="5"/>
        <v>0</v>
      </c>
    </row>
    <row r="25" spans="2:33">
      <c r="B25" s="100" t="s">
        <v>54</v>
      </c>
      <c r="C25" s="3"/>
      <c r="D25" s="3"/>
      <c r="E25" s="84"/>
      <c r="F25" s="169"/>
      <c r="G25" s="84"/>
      <c r="H25" s="553" t="str">
        <f>IF(G25="2極",AVERAGEIFS(モーター効率!$C$2:$C$122,モーター効率!$A$2:$A$122,E25,モーター効率!$B$2:$B$122,F25),IF(G25="4極",AVERAGEIFS(モーター効率!$D$2:$D$122,モーター効率!$A$2:$A$122,E25,モーター効率!$B$2:$B$122,F25),IF(G25="6極",AVERAGEIFS(モーター効率!$E$2:$E$122,モーター効率!$A$2:$A$122,E25,モーター効率!$B$2:$B$122,F25),IF(G25="8極",AVERAGEIFS(モーター効率!$F$2:$F$122,モーター効率!$A$2:$A$122,E25,モーター効率!$B$2:$B$122,F25),""))))</f>
        <v/>
      </c>
      <c r="I25" s="164" t="str">
        <f t="shared" si="8"/>
        <v/>
      </c>
      <c r="J25" s="253">
        <v>1</v>
      </c>
      <c r="K25" s="171" t="s">
        <v>382</v>
      </c>
      <c r="L25" s="603"/>
      <c r="M25" s="603"/>
      <c r="N25" s="566">
        <f t="shared" si="1"/>
        <v>0</v>
      </c>
      <c r="O25" s="8">
        <f t="shared" si="6"/>
        <v>0</v>
      </c>
      <c r="P25" s="164">
        <f>IF(O25="","",O25*係数!$H$30)</f>
        <v>0</v>
      </c>
      <c r="Q25" s="556">
        <f>O25*係数!$C$30*0.0000258</f>
        <v>0</v>
      </c>
      <c r="R25" s="183"/>
      <c r="S25" s="3"/>
      <c r="T25" s="84"/>
      <c r="U25" s="170"/>
      <c r="V25" s="84"/>
      <c r="W25" s="553" t="str">
        <f>IF(V25="2極",AVERAGEIFS(モーター効率!$C$2:$C$122,モーター効率!$A$2:$A$122,T25,モーター効率!$B$2:$B$122,U25),IF(V25="4極",AVERAGEIFS(モーター効率!$D$2:$D$122,モーター効率!$A$2:$A$122,T25,モーター効率!$B$2:$B$122,U25),IF(V25="6極",AVERAGEIFS(モーター効率!$E$2:$E$122,モーター効率!$A$2:$A$122,T25,モーター効率!$B$2:$B$122,U25),IF(V25="8極",AVERAGEIFS(モーター効率!$F$2:$F$122,モーター効率!$A$2:$A$122,T25,モーター効率!$B$2:$B$122,U25),""))))</f>
        <v/>
      </c>
      <c r="X25" s="164" t="str">
        <f t="shared" si="2"/>
        <v/>
      </c>
      <c r="Y25" s="253">
        <v>1</v>
      </c>
      <c r="Z25" s="171" t="s">
        <v>382</v>
      </c>
      <c r="AA25" s="604">
        <f t="shared" si="9"/>
        <v>0</v>
      </c>
      <c r="AB25" s="8">
        <f t="shared" si="7"/>
        <v>0</v>
      </c>
      <c r="AC25" s="152">
        <f>IF(AB25="","",AB25*係数!$H$30)</f>
        <v>0</v>
      </c>
      <c r="AD25" s="556">
        <f>AB25*係数!$C$30*0.0000258</f>
        <v>0</v>
      </c>
      <c r="AE25" s="560">
        <f t="shared" si="3"/>
        <v>0</v>
      </c>
      <c r="AF25" s="273">
        <f t="shared" si="4"/>
        <v>0</v>
      </c>
      <c r="AG25" s="561">
        <f t="shared" si="5"/>
        <v>0</v>
      </c>
    </row>
    <row r="26" spans="2:33">
      <c r="B26" s="100" t="s">
        <v>55</v>
      </c>
      <c r="C26" s="3"/>
      <c r="D26" s="3"/>
      <c r="E26" s="84"/>
      <c r="F26" s="169"/>
      <c r="G26" s="84"/>
      <c r="H26" s="553" t="str">
        <f>IF(G26="2極",AVERAGEIFS(モーター効率!$C$2:$C$122,モーター効率!$A$2:$A$122,E26,モーター効率!$B$2:$B$122,F26),IF(G26="4極",AVERAGEIFS(モーター効率!$D$2:$D$122,モーター効率!$A$2:$A$122,E26,モーター効率!$B$2:$B$122,F26),IF(G26="6極",AVERAGEIFS(モーター効率!$E$2:$E$122,モーター効率!$A$2:$A$122,E26,モーター効率!$B$2:$B$122,F26),IF(G26="8極",AVERAGEIFS(モーター効率!$F$2:$F$122,モーター効率!$A$2:$A$122,E26,モーター効率!$B$2:$B$122,F26),""))))</f>
        <v/>
      </c>
      <c r="I26" s="164" t="str">
        <f t="shared" si="8"/>
        <v/>
      </c>
      <c r="J26" s="253">
        <v>1</v>
      </c>
      <c r="K26" s="171" t="s">
        <v>382</v>
      </c>
      <c r="L26" s="603"/>
      <c r="M26" s="603"/>
      <c r="N26" s="566">
        <f t="shared" si="1"/>
        <v>0</v>
      </c>
      <c r="O26" s="8">
        <f t="shared" si="6"/>
        <v>0</v>
      </c>
      <c r="P26" s="164">
        <f>IF(O26="","",O26*係数!$H$30)</f>
        <v>0</v>
      </c>
      <c r="Q26" s="556">
        <f>O26*係数!$C$30*0.0000258</f>
        <v>0</v>
      </c>
      <c r="R26" s="183"/>
      <c r="S26" s="3"/>
      <c r="T26" s="84"/>
      <c r="U26" s="170"/>
      <c r="V26" s="84"/>
      <c r="W26" s="553" t="str">
        <f>IF(V26="2極",AVERAGEIFS(モーター効率!$C$2:$C$122,モーター効率!$A$2:$A$122,T26,モーター効率!$B$2:$B$122,U26),IF(V26="4極",AVERAGEIFS(モーター効率!$D$2:$D$122,モーター効率!$A$2:$A$122,T26,モーター効率!$B$2:$B$122,U26),IF(V26="6極",AVERAGEIFS(モーター効率!$E$2:$E$122,モーター効率!$A$2:$A$122,T26,モーター効率!$B$2:$B$122,U26),IF(V26="8極",AVERAGEIFS(モーター効率!$F$2:$F$122,モーター効率!$A$2:$A$122,T26,モーター効率!$B$2:$B$122,U26),""))))</f>
        <v/>
      </c>
      <c r="X26" s="164" t="str">
        <f t="shared" si="2"/>
        <v/>
      </c>
      <c r="Y26" s="253">
        <v>1</v>
      </c>
      <c r="Z26" s="171" t="s">
        <v>382</v>
      </c>
      <c r="AA26" s="604">
        <f t="shared" si="9"/>
        <v>0</v>
      </c>
      <c r="AB26" s="8">
        <f t="shared" si="7"/>
        <v>0</v>
      </c>
      <c r="AC26" s="152">
        <f>IF(AB26="","",AB26*係数!$H$30)</f>
        <v>0</v>
      </c>
      <c r="AD26" s="556">
        <f>AB26*係数!$C$30*0.0000258</f>
        <v>0</v>
      </c>
      <c r="AE26" s="560">
        <f t="shared" si="3"/>
        <v>0</v>
      </c>
      <c r="AF26" s="273">
        <f t="shared" si="4"/>
        <v>0</v>
      </c>
      <c r="AG26" s="561">
        <f t="shared" si="5"/>
        <v>0</v>
      </c>
    </row>
    <row r="27" spans="2:33">
      <c r="B27" s="100" t="s">
        <v>56</v>
      </c>
      <c r="C27" s="3"/>
      <c r="D27" s="3"/>
      <c r="E27" s="84"/>
      <c r="F27" s="169"/>
      <c r="G27" s="84"/>
      <c r="H27" s="553" t="str">
        <f>IF(G27="2極",AVERAGEIFS(モーター効率!$C$2:$C$122,モーター効率!$A$2:$A$122,E27,モーター効率!$B$2:$B$122,F27),IF(G27="4極",AVERAGEIFS(モーター効率!$D$2:$D$122,モーター効率!$A$2:$A$122,E27,モーター効率!$B$2:$B$122,F27),IF(G27="6極",AVERAGEIFS(モーター効率!$E$2:$E$122,モーター効率!$A$2:$A$122,E27,モーター効率!$B$2:$B$122,F27),IF(G27="8極",AVERAGEIFS(モーター効率!$F$2:$F$122,モーター効率!$A$2:$A$122,E27,モーター効率!$B$2:$B$122,F27),""))))</f>
        <v/>
      </c>
      <c r="I27" s="164" t="str">
        <f t="shared" si="8"/>
        <v/>
      </c>
      <c r="J27" s="253">
        <v>1</v>
      </c>
      <c r="K27" s="171" t="s">
        <v>382</v>
      </c>
      <c r="L27" s="603"/>
      <c r="M27" s="603"/>
      <c r="N27" s="566">
        <f t="shared" si="1"/>
        <v>0</v>
      </c>
      <c r="O27" s="8">
        <f t="shared" si="6"/>
        <v>0</v>
      </c>
      <c r="P27" s="164">
        <f>IF(O27="","",O27*係数!$H$30)</f>
        <v>0</v>
      </c>
      <c r="Q27" s="556">
        <f>O27*係数!$C$30*0.0000258</f>
        <v>0</v>
      </c>
      <c r="R27" s="183"/>
      <c r="S27" s="3"/>
      <c r="T27" s="84"/>
      <c r="U27" s="170"/>
      <c r="V27" s="84"/>
      <c r="W27" s="553" t="str">
        <f>IF(V27="2極",AVERAGEIFS(モーター効率!$C$2:$C$122,モーター効率!$A$2:$A$122,T27,モーター効率!$B$2:$B$122,U27),IF(V27="4極",AVERAGEIFS(モーター効率!$D$2:$D$122,モーター効率!$A$2:$A$122,T27,モーター効率!$B$2:$B$122,U27),IF(V27="6極",AVERAGEIFS(モーター効率!$E$2:$E$122,モーター効率!$A$2:$A$122,T27,モーター効率!$B$2:$B$122,U27),IF(V27="8極",AVERAGEIFS(モーター効率!$F$2:$F$122,モーター効率!$A$2:$A$122,T27,モーター効率!$B$2:$B$122,U27),""))))</f>
        <v/>
      </c>
      <c r="X27" s="164" t="str">
        <f t="shared" si="2"/>
        <v/>
      </c>
      <c r="Y27" s="253">
        <v>1</v>
      </c>
      <c r="Z27" s="171" t="s">
        <v>382</v>
      </c>
      <c r="AA27" s="604">
        <f t="shared" si="9"/>
        <v>0</v>
      </c>
      <c r="AB27" s="8">
        <f t="shared" si="7"/>
        <v>0</v>
      </c>
      <c r="AC27" s="152">
        <f>IF(AB27="","",AB27*係数!$H$30)</f>
        <v>0</v>
      </c>
      <c r="AD27" s="556">
        <f>AB27*係数!$C$30*0.0000258</f>
        <v>0</v>
      </c>
      <c r="AE27" s="560">
        <f t="shared" si="3"/>
        <v>0</v>
      </c>
      <c r="AF27" s="273">
        <f t="shared" si="4"/>
        <v>0</v>
      </c>
      <c r="AG27" s="561">
        <f t="shared" si="5"/>
        <v>0</v>
      </c>
    </row>
    <row r="28" spans="2:33">
      <c r="B28" s="100" t="s">
        <v>57</v>
      </c>
      <c r="C28" s="3"/>
      <c r="D28" s="3"/>
      <c r="E28" s="84"/>
      <c r="F28" s="169"/>
      <c r="G28" s="84"/>
      <c r="H28" s="553" t="str">
        <f>IF(G28="2極",AVERAGEIFS(モーター効率!$C$2:$C$122,モーター効率!$A$2:$A$122,E28,モーター効率!$B$2:$B$122,F28),IF(G28="4極",AVERAGEIFS(モーター効率!$D$2:$D$122,モーター効率!$A$2:$A$122,E28,モーター効率!$B$2:$B$122,F28),IF(G28="6極",AVERAGEIFS(モーター効率!$E$2:$E$122,モーター効率!$A$2:$A$122,E28,モーター効率!$B$2:$B$122,F28),IF(G28="8極",AVERAGEIFS(モーター効率!$F$2:$F$122,モーター効率!$A$2:$A$122,E28,モーター効率!$B$2:$B$122,F28),""))))</f>
        <v/>
      </c>
      <c r="I28" s="164" t="str">
        <f t="shared" si="8"/>
        <v/>
      </c>
      <c r="J28" s="253">
        <v>1</v>
      </c>
      <c r="K28" s="171" t="s">
        <v>382</v>
      </c>
      <c r="L28" s="603"/>
      <c r="M28" s="603"/>
      <c r="N28" s="566">
        <f t="shared" si="1"/>
        <v>0</v>
      </c>
      <c r="O28" s="8">
        <f t="shared" si="6"/>
        <v>0</v>
      </c>
      <c r="P28" s="164">
        <f>IF(O28="","",O28*係数!$H$30)</f>
        <v>0</v>
      </c>
      <c r="Q28" s="556">
        <f>O28*係数!$C$30*0.0000258</f>
        <v>0</v>
      </c>
      <c r="R28" s="183"/>
      <c r="S28" s="3"/>
      <c r="T28" s="84"/>
      <c r="U28" s="170"/>
      <c r="V28" s="84"/>
      <c r="W28" s="553" t="str">
        <f>IF(V28="2極",AVERAGEIFS(モーター効率!$C$2:$C$122,モーター効率!$A$2:$A$122,T28,モーター効率!$B$2:$B$122,U28),IF(V28="4極",AVERAGEIFS(モーター効率!$D$2:$D$122,モーター効率!$A$2:$A$122,T28,モーター効率!$B$2:$B$122,U28),IF(V28="6極",AVERAGEIFS(モーター効率!$E$2:$E$122,モーター効率!$A$2:$A$122,T28,モーター効率!$B$2:$B$122,U28),IF(V28="8極",AVERAGEIFS(モーター効率!$F$2:$F$122,モーター効率!$A$2:$A$122,T28,モーター効率!$B$2:$B$122,U28),""))))</f>
        <v/>
      </c>
      <c r="X28" s="164" t="str">
        <f t="shared" si="2"/>
        <v/>
      </c>
      <c r="Y28" s="253">
        <v>1</v>
      </c>
      <c r="Z28" s="171" t="s">
        <v>382</v>
      </c>
      <c r="AA28" s="604">
        <f t="shared" si="9"/>
        <v>0</v>
      </c>
      <c r="AB28" s="8">
        <f t="shared" si="7"/>
        <v>0</v>
      </c>
      <c r="AC28" s="152">
        <f>IF(AB28="","",AB28*係数!$H$30)</f>
        <v>0</v>
      </c>
      <c r="AD28" s="556">
        <f>AB28*係数!$C$30*0.0000258</f>
        <v>0</v>
      </c>
      <c r="AE28" s="560">
        <f t="shared" si="3"/>
        <v>0</v>
      </c>
      <c r="AF28" s="273">
        <f t="shared" si="4"/>
        <v>0</v>
      </c>
      <c r="AG28" s="561">
        <f t="shared" si="5"/>
        <v>0</v>
      </c>
    </row>
    <row r="29" spans="2:33">
      <c r="B29" s="100" t="s">
        <v>58</v>
      </c>
      <c r="C29" s="3"/>
      <c r="D29" s="3"/>
      <c r="E29" s="84"/>
      <c r="F29" s="169"/>
      <c r="G29" s="84"/>
      <c r="H29" s="553" t="str">
        <f>IF(G29="2極",AVERAGEIFS(モーター効率!$C$2:$C$122,モーター効率!$A$2:$A$122,E29,モーター効率!$B$2:$B$122,F29),IF(G29="4極",AVERAGEIFS(モーター効率!$D$2:$D$122,モーター効率!$A$2:$A$122,E29,モーター効率!$B$2:$B$122,F29),IF(G29="6極",AVERAGEIFS(モーター効率!$E$2:$E$122,モーター効率!$A$2:$A$122,E29,モーター効率!$B$2:$B$122,F29),IF(G29="8極",AVERAGEIFS(モーター効率!$F$2:$F$122,モーター効率!$A$2:$A$122,E29,モーター効率!$B$2:$B$122,F29),""))))</f>
        <v/>
      </c>
      <c r="I29" s="164" t="str">
        <f t="shared" si="8"/>
        <v/>
      </c>
      <c r="J29" s="253">
        <v>1</v>
      </c>
      <c r="K29" s="171" t="s">
        <v>382</v>
      </c>
      <c r="L29" s="603"/>
      <c r="M29" s="603"/>
      <c r="N29" s="566">
        <f t="shared" si="1"/>
        <v>0</v>
      </c>
      <c r="O29" s="8">
        <f t="shared" si="6"/>
        <v>0</v>
      </c>
      <c r="P29" s="164">
        <f>IF(O29="","",O29*係数!$H$30)</f>
        <v>0</v>
      </c>
      <c r="Q29" s="556">
        <f>O29*係数!$C$30*0.0000258</f>
        <v>0</v>
      </c>
      <c r="R29" s="183"/>
      <c r="S29" s="3"/>
      <c r="T29" s="84"/>
      <c r="U29" s="170"/>
      <c r="V29" s="84"/>
      <c r="W29" s="553" t="str">
        <f>IF(V29="2極",AVERAGEIFS(モーター効率!$C$2:$C$122,モーター効率!$A$2:$A$122,T29,モーター効率!$B$2:$B$122,U29),IF(V29="4極",AVERAGEIFS(モーター効率!$D$2:$D$122,モーター効率!$A$2:$A$122,T29,モーター効率!$B$2:$B$122,U29),IF(V29="6極",AVERAGEIFS(モーター効率!$E$2:$E$122,モーター効率!$A$2:$A$122,T29,モーター効率!$B$2:$B$122,U29),IF(V29="8極",AVERAGEIFS(モーター効率!$F$2:$F$122,モーター効率!$A$2:$A$122,T29,モーター効率!$B$2:$B$122,U29),""))))</f>
        <v/>
      </c>
      <c r="X29" s="164" t="str">
        <f t="shared" si="2"/>
        <v/>
      </c>
      <c r="Y29" s="253">
        <v>1</v>
      </c>
      <c r="Z29" s="171" t="s">
        <v>382</v>
      </c>
      <c r="AA29" s="604">
        <f t="shared" si="9"/>
        <v>0</v>
      </c>
      <c r="AB29" s="8">
        <f t="shared" si="7"/>
        <v>0</v>
      </c>
      <c r="AC29" s="152">
        <f>IF(AB29="","",AB29*係数!$H$30)</f>
        <v>0</v>
      </c>
      <c r="AD29" s="556">
        <f>AB29*係数!$C$30*0.0000258</f>
        <v>0</v>
      </c>
      <c r="AE29" s="560">
        <f t="shared" si="3"/>
        <v>0</v>
      </c>
      <c r="AF29" s="273">
        <f t="shared" si="4"/>
        <v>0</v>
      </c>
      <c r="AG29" s="561">
        <f t="shared" si="5"/>
        <v>0</v>
      </c>
    </row>
    <row r="30" spans="2:33">
      <c r="B30" s="100" t="s">
        <v>59</v>
      </c>
      <c r="C30" s="3"/>
      <c r="D30" s="3"/>
      <c r="E30" s="84"/>
      <c r="F30" s="169"/>
      <c r="G30" s="84"/>
      <c r="H30" s="553" t="str">
        <f>IF(G30="2極",AVERAGEIFS(モーター効率!$C$2:$C$122,モーター効率!$A$2:$A$122,E30,モーター効率!$B$2:$B$122,F30),IF(G30="4極",AVERAGEIFS(モーター効率!$D$2:$D$122,モーター効率!$A$2:$A$122,E30,モーター効率!$B$2:$B$122,F30),IF(G30="6極",AVERAGEIFS(モーター効率!$E$2:$E$122,モーター効率!$A$2:$A$122,E30,モーター効率!$B$2:$B$122,F30),IF(G30="8極",AVERAGEIFS(モーター効率!$F$2:$F$122,モーター効率!$A$2:$A$122,E30,モーター効率!$B$2:$B$122,F30),""))))</f>
        <v/>
      </c>
      <c r="I30" s="164" t="str">
        <f t="shared" ref="I30:I39" si="10">IF(H30="","",F30/H30)</f>
        <v/>
      </c>
      <c r="J30" s="253">
        <v>1</v>
      </c>
      <c r="K30" s="171" t="s">
        <v>382</v>
      </c>
      <c r="L30" s="603"/>
      <c r="M30" s="603"/>
      <c r="N30" s="566">
        <f t="shared" ref="N30:N39" si="11">L30*M30</f>
        <v>0</v>
      </c>
      <c r="O30" s="8">
        <f t="shared" ref="O30:O39" si="12">IF(OR(D30="",I30="",J30="",N30=""),0,IF(K30="○",D30*I30*J30^2*N30,D30*I30*J30*N30))</f>
        <v>0</v>
      </c>
      <c r="P30" s="164">
        <f>IF(O30="","",O30*係数!$H$30)</f>
        <v>0</v>
      </c>
      <c r="Q30" s="556">
        <f>O30*係数!$C$30*0.0000258</f>
        <v>0</v>
      </c>
      <c r="R30" s="183"/>
      <c r="S30" s="3"/>
      <c r="T30" s="84"/>
      <c r="U30" s="170"/>
      <c r="V30" s="84"/>
      <c r="W30" s="553" t="str">
        <f>IF(V30="2極",AVERAGEIFS(モーター効率!$C$2:$C$122,モーター効率!$A$2:$A$122,T30,モーター効率!$B$2:$B$122,U30),IF(V30="4極",AVERAGEIFS(モーター効率!$D$2:$D$122,モーター効率!$A$2:$A$122,T30,モーター効率!$B$2:$B$122,U30),IF(V30="6極",AVERAGEIFS(モーター効率!$E$2:$E$122,モーター効率!$A$2:$A$122,T30,モーター効率!$B$2:$B$122,U30),IF(V30="8極",AVERAGEIFS(モーター効率!$F$2:$F$122,モーター効率!$A$2:$A$122,T30,モーター効率!$B$2:$B$122,U30),""))))</f>
        <v/>
      </c>
      <c r="X30" s="164" t="str">
        <f t="shared" ref="X30:X39" si="13">IF(W30="","",U30/W30)</f>
        <v/>
      </c>
      <c r="Y30" s="253">
        <v>1</v>
      </c>
      <c r="Z30" s="171" t="s">
        <v>382</v>
      </c>
      <c r="AA30" s="604">
        <f t="shared" ref="AA30:AA39" si="14">IF(N30="","",N30)</f>
        <v>0</v>
      </c>
      <c r="AB30" s="8">
        <f t="shared" ref="AB30:AB39" si="15">IF(OR(S30="",X30="",Y30="",AA30=""),0,IF(Z30="○",S30*X30*Y30^2*AA30,S30*X30*Y30*AA30))</f>
        <v>0</v>
      </c>
      <c r="AC30" s="152">
        <f>IF(AB30="","",AB30*係数!$H$30)</f>
        <v>0</v>
      </c>
      <c r="AD30" s="556">
        <f>AB30*係数!$C$30*0.0000258</f>
        <v>0</v>
      </c>
      <c r="AE30" s="560">
        <f t="shared" ref="AE30:AE39" si="16">IF(OR(O30="",AB30=""),"",O30-AB30)</f>
        <v>0</v>
      </c>
      <c r="AF30" s="273">
        <f t="shared" ref="AF30:AF39" si="17">P30-AC30</f>
        <v>0</v>
      </c>
      <c r="AG30" s="561">
        <f t="shared" ref="AG30:AG39" si="18">Q30-AD30</f>
        <v>0</v>
      </c>
    </row>
    <row r="31" spans="2:33">
      <c r="B31" s="100" t="s">
        <v>60</v>
      </c>
      <c r="C31" s="3"/>
      <c r="D31" s="3"/>
      <c r="E31" s="84"/>
      <c r="F31" s="169"/>
      <c r="G31" s="84"/>
      <c r="H31" s="553" t="str">
        <f>IF(G31="2極",AVERAGEIFS(モーター効率!$C$2:$C$122,モーター効率!$A$2:$A$122,E31,モーター効率!$B$2:$B$122,F31),IF(G31="4極",AVERAGEIFS(モーター効率!$D$2:$D$122,モーター効率!$A$2:$A$122,E31,モーター効率!$B$2:$B$122,F31),IF(G31="6極",AVERAGEIFS(モーター効率!$E$2:$E$122,モーター効率!$A$2:$A$122,E31,モーター効率!$B$2:$B$122,F31),IF(G31="8極",AVERAGEIFS(モーター効率!$F$2:$F$122,モーター効率!$A$2:$A$122,E31,モーター効率!$B$2:$B$122,F31),""))))</f>
        <v/>
      </c>
      <c r="I31" s="164" t="str">
        <f t="shared" si="10"/>
        <v/>
      </c>
      <c r="J31" s="253">
        <v>1</v>
      </c>
      <c r="K31" s="171" t="s">
        <v>382</v>
      </c>
      <c r="L31" s="603"/>
      <c r="M31" s="603"/>
      <c r="N31" s="566">
        <f t="shared" si="11"/>
        <v>0</v>
      </c>
      <c r="O31" s="8">
        <f t="shared" si="12"/>
        <v>0</v>
      </c>
      <c r="P31" s="164">
        <f>IF(O31="","",O31*係数!$H$30)</f>
        <v>0</v>
      </c>
      <c r="Q31" s="556">
        <f>O31*係数!$C$30*0.0000258</f>
        <v>0</v>
      </c>
      <c r="R31" s="183"/>
      <c r="S31" s="3"/>
      <c r="T31" s="84"/>
      <c r="U31" s="170"/>
      <c r="V31" s="84"/>
      <c r="W31" s="553" t="str">
        <f>IF(V31="2極",AVERAGEIFS(モーター効率!$C$2:$C$122,モーター効率!$A$2:$A$122,T31,モーター効率!$B$2:$B$122,U31),IF(V31="4極",AVERAGEIFS(モーター効率!$D$2:$D$122,モーター効率!$A$2:$A$122,T31,モーター効率!$B$2:$B$122,U31),IF(V31="6極",AVERAGEIFS(モーター効率!$E$2:$E$122,モーター効率!$A$2:$A$122,T31,モーター効率!$B$2:$B$122,U31),IF(V31="8極",AVERAGEIFS(モーター効率!$F$2:$F$122,モーター効率!$A$2:$A$122,T31,モーター効率!$B$2:$B$122,U31),""))))</f>
        <v/>
      </c>
      <c r="X31" s="164" t="str">
        <f t="shared" si="13"/>
        <v/>
      </c>
      <c r="Y31" s="253">
        <v>1</v>
      </c>
      <c r="Z31" s="171" t="s">
        <v>382</v>
      </c>
      <c r="AA31" s="604">
        <f t="shared" si="14"/>
        <v>0</v>
      </c>
      <c r="AB31" s="8">
        <f t="shared" si="15"/>
        <v>0</v>
      </c>
      <c r="AC31" s="152">
        <f>IF(AB31="","",AB31*係数!$H$30)</f>
        <v>0</v>
      </c>
      <c r="AD31" s="556">
        <f>AB31*係数!$C$30*0.0000258</f>
        <v>0</v>
      </c>
      <c r="AE31" s="560">
        <f t="shared" si="16"/>
        <v>0</v>
      </c>
      <c r="AF31" s="273">
        <f t="shared" si="17"/>
        <v>0</v>
      </c>
      <c r="AG31" s="561">
        <f t="shared" si="18"/>
        <v>0</v>
      </c>
    </row>
    <row r="32" spans="2:33">
      <c r="B32" s="100" t="s">
        <v>61</v>
      </c>
      <c r="C32" s="3"/>
      <c r="D32" s="3"/>
      <c r="E32" s="84"/>
      <c r="F32" s="169"/>
      <c r="G32" s="84"/>
      <c r="H32" s="553" t="str">
        <f>IF(G32="2極",AVERAGEIFS(モーター効率!$C$2:$C$122,モーター効率!$A$2:$A$122,E32,モーター効率!$B$2:$B$122,F32),IF(G32="4極",AVERAGEIFS(モーター効率!$D$2:$D$122,モーター効率!$A$2:$A$122,E32,モーター効率!$B$2:$B$122,F32),IF(G32="6極",AVERAGEIFS(モーター効率!$E$2:$E$122,モーター効率!$A$2:$A$122,E32,モーター効率!$B$2:$B$122,F32),IF(G32="8極",AVERAGEIFS(モーター効率!$F$2:$F$122,モーター効率!$A$2:$A$122,E32,モーター効率!$B$2:$B$122,F32),""))))</f>
        <v/>
      </c>
      <c r="I32" s="164" t="str">
        <f t="shared" si="10"/>
        <v/>
      </c>
      <c r="J32" s="253">
        <v>1</v>
      </c>
      <c r="K32" s="171" t="s">
        <v>382</v>
      </c>
      <c r="L32" s="603"/>
      <c r="M32" s="603"/>
      <c r="N32" s="566">
        <f t="shared" si="11"/>
        <v>0</v>
      </c>
      <c r="O32" s="8">
        <f t="shared" si="12"/>
        <v>0</v>
      </c>
      <c r="P32" s="164">
        <f>IF(O32="","",O32*係数!$H$30)</f>
        <v>0</v>
      </c>
      <c r="Q32" s="556">
        <f>O32*係数!$C$30*0.0000258</f>
        <v>0</v>
      </c>
      <c r="R32" s="183"/>
      <c r="S32" s="3"/>
      <c r="T32" s="84"/>
      <c r="U32" s="170"/>
      <c r="V32" s="84"/>
      <c r="W32" s="553" t="str">
        <f>IF(V32="2極",AVERAGEIFS(モーター効率!$C$2:$C$122,モーター効率!$A$2:$A$122,T32,モーター効率!$B$2:$B$122,U32),IF(V32="4極",AVERAGEIFS(モーター効率!$D$2:$D$122,モーター効率!$A$2:$A$122,T32,モーター効率!$B$2:$B$122,U32),IF(V32="6極",AVERAGEIFS(モーター効率!$E$2:$E$122,モーター効率!$A$2:$A$122,T32,モーター効率!$B$2:$B$122,U32),IF(V32="8極",AVERAGEIFS(モーター効率!$F$2:$F$122,モーター効率!$A$2:$A$122,T32,モーター効率!$B$2:$B$122,U32),""))))</f>
        <v/>
      </c>
      <c r="X32" s="164" t="str">
        <f t="shared" si="13"/>
        <v/>
      </c>
      <c r="Y32" s="253">
        <v>1</v>
      </c>
      <c r="Z32" s="171" t="s">
        <v>382</v>
      </c>
      <c r="AA32" s="604">
        <f t="shared" si="14"/>
        <v>0</v>
      </c>
      <c r="AB32" s="8">
        <f t="shared" si="15"/>
        <v>0</v>
      </c>
      <c r="AC32" s="152">
        <f>IF(AB32="","",AB32*係数!$H$30)</f>
        <v>0</v>
      </c>
      <c r="AD32" s="556">
        <f>AB32*係数!$C$30*0.0000258</f>
        <v>0</v>
      </c>
      <c r="AE32" s="560">
        <f t="shared" si="16"/>
        <v>0</v>
      </c>
      <c r="AF32" s="273">
        <f t="shared" si="17"/>
        <v>0</v>
      </c>
      <c r="AG32" s="561">
        <f t="shared" si="18"/>
        <v>0</v>
      </c>
    </row>
    <row r="33" spans="1:33">
      <c r="B33" s="100" t="s">
        <v>62</v>
      </c>
      <c r="C33" s="3"/>
      <c r="D33" s="3"/>
      <c r="E33" s="84"/>
      <c r="F33" s="169"/>
      <c r="G33" s="84"/>
      <c r="H33" s="553" t="str">
        <f>IF(G33="2極",AVERAGEIFS(モーター効率!$C$2:$C$122,モーター効率!$A$2:$A$122,E33,モーター効率!$B$2:$B$122,F33),IF(G33="4極",AVERAGEIFS(モーター効率!$D$2:$D$122,モーター効率!$A$2:$A$122,E33,モーター効率!$B$2:$B$122,F33),IF(G33="6極",AVERAGEIFS(モーター効率!$E$2:$E$122,モーター効率!$A$2:$A$122,E33,モーター効率!$B$2:$B$122,F33),IF(G33="8極",AVERAGEIFS(モーター効率!$F$2:$F$122,モーター効率!$A$2:$A$122,E33,モーター効率!$B$2:$B$122,F33),""))))</f>
        <v/>
      </c>
      <c r="I33" s="164" t="str">
        <f t="shared" si="10"/>
        <v/>
      </c>
      <c r="J33" s="253">
        <v>1</v>
      </c>
      <c r="K33" s="171" t="s">
        <v>382</v>
      </c>
      <c r="L33" s="603"/>
      <c r="M33" s="603"/>
      <c r="N33" s="566">
        <f t="shared" si="11"/>
        <v>0</v>
      </c>
      <c r="O33" s="8">
        <f t="shared" si="12"/>
        <v>0</v>
      </c>
      <c r="P33" s="164">
        <f>IF(O33="","",O33*係数!$H$30)</f>
        <v>0</v>
      </c>
      <c r="Q33" s="556">
        <f>O33*係数!$C$30*0.0000258</f>
        <v>0</v>
      </c>
      <c r="R33" s="183"/>
      <c r="S33" s="3"/>
      <c r="T33" s="84"/>
      <c r="U33" s="170"/>
      <c r="V33" s="84"/>
      <c r="W33" s="553" t="str">
        <f>IF(V33="2極",AVERAGEIFS(モーター効率!$C$2:$C$122,モーター効率!$A$2:$A$122,T33,モーター効率!$B$2:$B$122,U33),IF(V33="4極",AVERAGEIFS(モーター効率!$D$2:$D$122,モーター効率!$A$2:$A$122,T33,モーター効率!$B$2:$B$122,U33),IF(V33="6極",AVERAGEIFS(モーター効率!$E$2:$E$122,モーター効率!$A$2:$A$122,T33,モーター効率!$B$2:$B$122,U33),IF(V33="8極",AVERAGEIFS(モーター効率!$F$2:$F$122,モーター効率!$A$2:$A$122,T33,モーター効率!$B$2:$B$122,U33),""))))</f>
        <v/>
      </c>
      <c r="X33" s="164" t="str">
        <f t="shared" si="13"/>
        <v/>
      </c>
      <c r="Y33" s="253">
        <v>1</v>
      </c>
      <c r="Z33" s="171" t="s">
        <v>382</v>
      </c>
      <c r="AA33" s="604">
        <f t="shared" si="14"/>
        <v>0</v>
      </c>
      <c r="AB33" s="8">
        <f t="shared" si="15"/>
        <v>0</v>
      </c>
      <c r="AC33" s="152">
        <f>IF(AB33="","",AB33*係数!$H$30)</f>
        <v>0</v>
      </c>
      <c r="AD33" s="556">
        <f>AB33*係数!$C$30*0.0000258</f>
        <v>0</v>
      </c>
      <c r="AE33" s="560">
        <f t="shared" si="16"/>
        <v>0</v>
      </c>
      <c r="AF33" s="273">
        <f t="shared" si="17"/>
        <v>0</v>
      </c>
      <c r="AG33" s="561">
        <f t="shared" si="18"/>
        <v>0</v>
      </c>
    </row>
    <row r="34" spans="1:33">
      <c r="B34" s="100" t="s">
        <v>63</v>
      </c>
      <c r="C34" s="3"/>
      <c r="D34" s="3"/>
      <c r="E34" s="84"/>
      <c r="F34" s="169"/>
      <c r="G34" s="84"/>
      <c r="H34" s="553" t="str">
        <f>IF(G34="2極",AVERAGEIFS(モーター効率!$C$2:$C$122,モーター効率!$A$2:$A$122,E34,モーター効率!$B$2:$B$122,F34),IF(G34="4極",AVERAGEIFS(モーター効率!$D$2:$D$122,モーター効率!$A$2:$A$122,E34,モーター効率!$B$2:$B$122,F34),IF(G34="6極",AVERAGEIFS(モーター効率!$E$2:$E$122,モーター効率!$A$2:$A$122,E34,モーター効率!$B$2:$B$122,F34),IF(G34="8極",AVERAGEIFS(モーター効率!$F$2:$F$122,モーター効率!$A$2:$A$122,E34,モーター効率!$B$2:$B$122,F34),""))))</f>
        <v/>
      </c>
      <c r="I34" s="164" t="str">
        <f t="shared" si="10"/>
        <v/>
      </c>
      <c r="J34" s="253">
        <v>1</v>
      </c>
      <c r="K34" s="171" t="s">
        <v>382</v>
      </c>
      <c r="L34" s="603"/>
      <c r="M34" s="603"/>
      <c r="N34" s="566">
        <f t="shared" si="11"/>
        <v>0</v>
      </c>
      <c r="O34" s="8">
        <f t="shared" si="12"/>
        <v>0</v>
      </c>
      <c r="P34" s="164">
        <f>IF(O34="","",O34*係数!$H$30)</f>
        <v>0</v>
      </c>
      <c r="Q34" s="556">
        <f>O34*係数!$C$30*0.0000258</f>
        <v>0</v>
      </c>
      <c r="R34" s="183"/>
      <c r="S34" s="3"/>
      <c r="T34" s="84"/>
      <c r="U34" s="170"/>
      <c r="V34" s="84"/>
      <c r="W34" s="553" t="str">
        <f>IF(V34="2極",AVERAGEIFS(モーター効率!$C$2:$C$122,モーター効率!$A$2:$A$122,T34,モーター効率!$B$2:$B$122,U34),IF(V34="4極",AVERAGEIFS(モーター効率!$D$2:$D$122,モーター効率!$A$2:$A$122,T34,モーター効率!$B$2:$B$122,U34),IF(V34="6極",AVERAGEIFS(モーター効率!$E$2:$E$122,モーター効率!$A$2:$A$122,T34,モーター効率!$B$2:$B$122,U34),IF(V34="8極",AVERAGEIFS(モーター効率!$F$2:$F$122,モーター効率!$A$2:$A$122,T34,モーター効率!$B$2:$B$122,U34),""))))</f>
        <v/>
      </c>
      <c r="X34" s="164" t="str">
        <f t="shared" si="13"/>
        <v/>
      </c>
      <c r="Y34" s="253">
        <v>1</v>
      </c>
      <c r="Z34" s="171" t="s">
        <v>382</v>
      </c>
      <c r="AA34" s="604">
        <f t="shared" si="14"/>
        <v>0</v>
      </c>
      <c r="AB34" s="8">
        <f t="shared" si="15"/>
        <v>0</v>
      </c>
      <c r="AC34" s="152">
        <f>IF(AB34="","",AB34*係数!$H$30)</f>
        <v>0</v>
      </c>
      <c r="AD34" s="556">
        <f>AB34*係数!$C$30*0.0000258</f>
        <v>0</v>
      </c>
      <c r="AE34" s="560">
        <f t="shared" si="16"/>
        <v>0</v>
      </c>
      <c r="AF34" s="273">
        <f t="shared" si="17"/>
        <v>0</v>
      </c>
      <c r="AG34" s="561">
        <f t="shared" si="18"/>
        <v>0</v>
      </c>
    </row>
    <row r="35" spans="1:33">
      <c r="B35" s="100" t="s">
        <v>64</v>
      </c>
      <c r="C35" s="3"/>
      <c r="D35" s="3"/>
      <c r="E35" s="84"/>
      <c r="F35" s="169"/>
      <c r="G35" s="84"/>
      <c r="H35" s="553" t="str">
        <f>IF(G35="2極",AVERAGEIFS(モーター効率!$C$2:$C$122,モーター効率!$A$2:$A$122,E35,モーター効率!$B$2:$B$122,F35),IF(G35="4極",AVERAGEIFS(モーター効率!$D$2:$D$122,モーター効率!$A$2:$A$122,E35,モーター効率!$B$2:$B$122,F35),IF(G35="6極",AVERAGEIFS(モーター効率!$E$2:$E$122,モーター効率!$A$2:$A$122,E35,モーター効率!$B$2:$B$122,F35),IF(G35="8極",AVERAGEIFS(モーター効率!$F$2:$F$122,モーター効率!$A$2:$A$122,E35,モーター効率!$B$2:$B$122,F35),""))))</f>
        <v/>
      </c>
      <c r="I35" s="164" t="str">
        <f t="shared" si="10"/>
        <v/>
      </c>
      <c r="J35" s="253">
        <v>1</v>
      </c>
      <c r="K35" s="171" t="s">
        <v>382</v>
      </c>
      <c r="L35" s="603"/>
      <c r="M35" s="603"/>
      <c r="N35" s="566">
        <f t="shared" si="11"/>
        <v>0</v>
      </c>
      <c r="O35" s="8">
        <f t="shared" si="12"/>
        <v>0</v>
      </c>
      <c r="P35" s="164">
        <f>IF(O35="","",O35*係数!$H$30)</f>
        <v>0</v>
      </c>
      <c r="Q35" s="556">
        <f>O35*係数!$C$30*0.0000258</f>
        <v>0</v>
      </c>
      <c r="R35" s="183"/>
      <c r="S35" s="3"/>
      <c r="T35" s="84"/>
      <c r="U35" s="170"/>
      <c r="V35" s="84"/>
      <c r="W35" s="553" t="str">
        <f>IF(V35="2極",AVERAGEIFS(モーター効率!$C$2:$C$122,モーター効率!$A$2:$A$122,T35,モーター効率!$B$2:$B$122,U35),IF(V35="4極",AVERAGEIFS(モーター効率!$D$2:$D$122,モーター効率!$A$2:$A$122,T35,モーター効率!$B$2:$B$122,U35),IF(V35="6極",AVERAGEIFS(モーター効率!$E$2:$E$122,モーター効率!$A$2:$A$122,T35,モーター効率!$B$2:$B$122,U35),IF(V35="8極",AVERAGEIFS(モーター効率!$F$2:$F$122,モーター効率!$A$2:$A$122,T35,モーター効率!$B$2:$B$122,U35),""))))</f>
        <v/>
      </c>
      <c r="X35" s="164" t="str">
        <f t="shared" si="13"/>
        <v/>
      </c>
      <c r="Y35" s="253">
        <v>1</v>
      </c>
      <c r="Z35" s="171" t="s">
        <v>382</v>
      </c>
      <c r="AA35" s="604">
        <f t="shared" si="14"/>
        <v>0</v>
      </c>
      <c r="AB35" s="8">
        <f t="shared" si="15"/>
        <v>0</v>
      </c>
      <c r="AC35" s="152">
        <f>IF(AB35="","",AB35*係数!$H$30)</f>
        <v>0</v>
      </c>
      <c r="AD35" s="556">
        <f>AB35*係数!$C$30*0.0000258</f>
        <v>0</v>
      </c>
      <c r="AE35" s="560">
        <f t="shared" si="16"/>
        <v>0</v>
      </c>
      <c r="AF35" s="273">
        <f t="shared" si="17"/>
        <v>0</v>
      </c>
      <c r="AG35" s="561">
        <f t="shared" si="18"/>
        <v>0</v>
      </c>
    </row>
    <row r="36" spans="1:33">
      <c r="B36" s="100" t="s">
        <v>65</v>
      </c>
      <c r="C36" s="3"/>
      <c r="D36" s="3"/>
      <c r="E36" s="84"/>
      <c r="F36" s="169"/>
      <c r="G36" s="84"/>
      <c r="H36" s="553" t="str">
        <f>IF(G36="2極",AVERAGEIFS(モーター効率!$C$2:$C$122,モーター効率!$A$2:$A$122,E36,モーター効率!$B$2:$B$122,F36),IF(G36="4極",AVERAGEIFS(モーター効率!$D$2:$D$122,モーター効率!$A$2:$A$122,E36,モーター効率!$B$2:$B$122,F36),IF(G36="6極",AVERAGEIFS(モーター効率!$E$2:$E$122,モーター効率!$A$2:$A$122,E36,モーター効率!$B$2:$B$122,F36),IF(G36="8極",AVERAGEIFS(モーター効率!$F$2:$F$122,モーター効率!$A$2:$A$122,E36,モーター効率!$B$2:$B$122,F36),""))))</f>
        <v/>
      </c>
      <c r="I36" s="164" t="str">
        <f t="shared" si="10"/>
        <v/>
      </c>
      <c r="J36" s="253">
        <v>1</v>
      </c>
      <c r="K36" s="171" t="s">
        <v>382</v>
      </c>
      <c r="L36" s="603"/>
      <c r="M36" s="603"/>
      <c r="N36" s="566">
        <f t="shared" si="11"/>
        <v>0</v>
      </c>
      <c r="O36" s="8">
        <f t="shared" si="12"/>
        <v>0</v>
      </c>
      <c r="P36" s="164">
        <f>IF(O36="","",O36*係数!$H$30)</f>
        <v>0</v>
      </c>
      <c r="Q36" s="556">
        <f>O36*係数!$C$30*0.0000258</f>
        <v>0</v>
      </c>
      <c r="R36" s="183"/>
      <c r="S36" s="3"/>
      <c r="T36" s="84"/>
      <c r="U36" s="170"/>
      <c r="V36" s="84"/>
      <c r="W36" s="553" t="str">
        <f>IF(V36="2極",AVERAGEIFS(モーター効率!$C$2:$C$122,モーター効率!$A$2:$A$122,T36,モーター効率!$B$2:$B$122,U36),IF(V36="4極",AVERAGEIFS(モーター効率!$D$2:$D$122,モーター効率!$A$2:$A$122,T36,モーター効率!$B$2:$B$122,U36),IF(V36="6極",AVERAGEIFS(モーター効率!$E$2:$E$122,モーター効率!$A$2:$A$122,T36,モーター効率!$B$2:$B$122,U36),IF(V36="8極",AVERAGEIFS(モーター効率!$F$2:$F$122,モーター効率!$A$2:$A$122,T36,モーター効率!$B$2:$B$122,U36),""))))</f>
        <v/>
      </c>
      <c r="X36" s="164" t="str">
        <f t="shared" si="13"/>
        <v/>
      </c>
      <c r="Y36" s="253">
        <v>1</v>
      </c>
      <c r="Z36" s="171" t="s">
        <v>382</v>
      </c>
      <c r="AA36" s="604">
        <f t="shared" si="14"/>
        <v>0</v>
      </c>
      <c r="AB36" s="8">
        <f t="shared" si="15"/>
        <v>0</v>
      </c>
      <c r="AC36" s="152">
        <f>IF(AB36="","",AB36*係数!$H$30)</f>
        <v>0</v>
      </c>
      <c r="AD36" s="556">
        <f>AB36*係数!$C$30*0.0000258</f>
        <v>0</v>
      </c>
      <c r="AE36" s="560">
        <f t="shared" si="16"/>
        <v>0</v>
      </c>
      <c r="AF36" s="273">
        <f t="shared" si="17"/>
        <v>0</v>
      </c>
      <c r="AG36" s="561">
        <f t="shared" si="18"/>
        <v>0</v>
      </c>
    </row>
    <row r="37" spans="1:33">
      <c r="B37" s="100" t="s">
        <v>66</v>
      </c>
      <c r="C37" s="3"/>
      <c r="D37" s="3"/>
      <c r="E37" s="84"/>
      <c r="F37" s="169"/>
      <c r="G37" s="84"/>
      <c r="H37" s="553" t="str">
        <f>IF(G37="2極",AVERAGEIFS(モーター効率!$C$2:$C$122,モーター効率!$A$2:$A$122,E37,モーター効率!$B$2:$B$122,F37),IF(G37="4極",AVERAGEIFS(モーター効率!$D$2:$D$122,モーター効率!$A$2:$A$122,E37,モーター効率!$B$2:$B$122,F37),IF(G37="6極",AVERAGEIFS(モーター効率!$E$2:$E$122,モーター効率!$A$2:$A$122,E37,モーター効率!$B$2:$B$122,F37),IF(G37="8極",AVERAGEIFS(モーター効率!$F$2:$F$122,モーター効率!$A$2:$A$122,E37,モーター効率!$B$2:$B$122,F37),""))))</f>
        <v/>
      </c>
      <c r="I37" s="164" t="str">
        <f t="shared" si="10"/>
        <v/>
      </c>
      <c r="J37" s="253">
        <v>1</v>
      </c>
      <c r="K37" s="171" t="s">
        <v>382</v>
      </c>
      <c r="L37" s="603"/>
      <c r="M37" s="603"/>
      <c r="N37" s="566">
        <f t="shared" si="11"/>
        <v>0</v>
      </c>
      <c r="O37" s="8">
        <f t="shared" si="12"/>
        <v>0</v>
      </c>
      <c r="P37" s="164">
        <f>IF(O37="","",O37*係数!$H$30)</f>
        <v>0</v>
      </c>
      <c r="Q37" s="556">
        <f>O37*係数!$C$30*0.0000258</f>
        <v>0</v>
      </c>
      <c r="R37" s="183"/>
      <c r="S37" s="3"/>
      <c r="T37" s="84"/>
      <c r="U37" s="170"/>
      <c r="V37" s="84"/>
      <c r="W37" s="553" t="str">
        <f>IF(V37="2極",AVERAGEIFS(モーター効率!$C$2:$C$122,モーター効率!$A$2:$A$122,T37,モーター効率!$B$2:$B$122,U37),IF(V37="4極",AVERAGEIFS(モーター効率!$D$2:$D$122,モーター効率!$A$2:$A$122,T37,モーター効率!$B$2:$B$122,U37),IF(V37="6極",AVERAGEIFS(モーター効率!$E$2:$E$122,モーター効率!$A$2:$A$122,T37,モーター効率!$B$2:$B$122,U37),IF(V37="8極",AVERAGEIFS(モーター効率!$F$2:$F$122,モーター効率!$A$2:$A$122,T37,モーター効率!$B$2:$B$122,U37),""))))</f>
        <v/>
      </c>
      <c r="X37" s="164" t="str">
        <f t="shared" si="13"/>
        <v/>
      </c>
      <c r="Y37" s="253">
        <v>1</v>
      </c>
      <c r="Z37" s="171" t="s">
        <v>382</v>
      </c>
      <c r="AA37" s="604">
        <f t="shared" si="14"/>
        <v>0</v>
      </c>
      <c r="AB37" s="8">
        <f t="shared" si="15"/>
        <v>0</v>
      </c>
      <c r="AC37" s="152">
        <f>IF(AB37="","",AB37*係数!$H$30)</f>
        <v>0</v>
      </c>
      <c r="AD37" s="556">
        <f>AB37*係数!$C$30*0.0000258</f>
        <v>0</v>
      </c>
      <c r="AE37" s="560">
        <f t="shared" si="16"/>
        <v>0</v>
      </c>
      <c r="AF37" s="273">
        <f t="shared" si="17"/>
        <v>0</v>
      </c>
      <c r="AG37" s="561">
        <f t="shared" si="18"/>
        <v>0</v>
      </c>
    </row>
    <row r="38" spans="1:33">
      <c r="B38" s="100" t="s">
        <v>67</v>
      </c>
      <c r="C38" s="3"/>
      <c r="D38" s="3"/>
      <c r="E38" s="84"/>
      <c r="F38" s="169"/>
      <c r="G38" s="84"/>
      <c r="H38" s="553" t="str">
        <f>IF(G38="2極",AVERAGEIFS(モーター効率!$C$2:$C$122,モーター効率!$A$2:$A$122,E38,モーター効率!$B$2:$B$122,F38),IF(G38="4極",AVERAGEIFS(モーター効率!$D$2:$D$122,モーター効率!$A$2:$A$122,E38,モーター効率!$B$2:$B$122,F38),IF(G38="6極",AVERAGEIFS(モーター効率!$E$2:$E$122,モーター効率!$A$2:$A$122,E38,モーター効率!$B$2:$B$122,F38),IF(G38="8極",AVERAGEIFS(モーター効率!$F$2:$F$122,モーター効率!$A$2:$A$122,E38,モーター効率!$B$2:$B$122,F38),""))))</f>
        <v/>
      </c>
      <c r="I38" s="164" t="str">
        <f t="shared" si="10"/>
        <v/>
      </c>
      <c r="J38" s="253">
        <v>1</v>
      </c>
      <c r="K38" s="171" t="s">
        <v>382</v>
      </c>
      <c r="L38" s="603"/>
      <c r="M38" s="603"/>
      <c r="N38" s="566">
        <f t="shared" si="11"/>
        <v>0</v>
      </c>
      <c r="O38" s="8">
        <f t="shared" si="12"/>
        <v>0</v>
      </c>
      <c r="P38" s="164">
        <f>IF(O38="","",O38*係数!$H$30)</f>
        <v>0</v>
      </c>
      <c r="Q38" s="556">
        <f>O38*係数!$C$30*0.0000258</f>
        <v>0</v>
      </c>
      <c r="R38" s="183"/>
      <c r="S38" s="3"/>
      <c r="T38" s="84"/>
      <c r="U38" s="170"/>
      <c r="V38" s="84"/>
      <c r="W38" s="553" t="str">
        <f>IF(V38="2極",AVERAGEIFS(モーター効率!$C$2:$C$122,モーター効率!$A$2:$A$122,T38,モーター効率!$B$2:$B$122,U38),IF(V38="4極",AVERAGEIFS(モーター効率!$D$2:$D$122,モーター効率!$A$2:$A$122,T38,モーター効率!$B$2:$B$122,U38),IF(V38="6極",AVERAGEIFS(モーター効率!$E$2:$E$122,モーター効率!$A$2:$A$122,T38,モーター効率!$B$2:$B$122,U38),IF(V38="8極",AVERAGEIFS(モーター効率!$F$2:$F$122,モーター効率!$A$2:$A$122,T38,モーター効率!$B$2:$B$122,U38),""))))</f>
        <v/>
      </c>
      <c r="X38" s="164" t="str">
        <f t="shared" si="13"/>
        <v/>
      </c>
      <c r="Y38" s="253">
        <v>1</v>
      </c>
      <c r="Z38" s="171" t="s">
        <v>382</v>
      </c>
      <c r="AA38" s="604">
        <f t="shared" si="14"/>
        <v>0</v>
      </c>
      <c r="AB38" s="8">
        <f t="shared" si="15"/>
        <v>0</v>
      </c>
      <c r="AC38" s="152">
        <f>IF(AB38="","",AB38*係数!$H$30)</f>
        <v>0</v>
      </c>
      <c r="AD38" s="556">
        <f>AB38*係数!$C$30*0.0000258</f>
        <v>0</v>
      </c>
      <c r="AE38" s="560">
        <f t="shared" si="16"/>
        <v>0</v>
      </c>
      <c r="AF38" s="273">
        <f t="shared" si="17"/>
        <v>0</v>
      </c>
      <c r="AG38" s="561">
        <f t="shared" si="18"/>
        <v>0</v>
      </c>
    </row>
    <row r="39" spans="1:33">
      <c r="B39" s="100" t="s">
        <v>68</v>
      </c>
      <c r="C39" s="3"/>
      <c r="D39" s="3"/>
      <c r="E39" s="84"/>
      <c r="F39" s="169"/>
      <c r="G39" s="84"/>
      <c r="H39" s="553" t="str">
        <f>IF(G39="2極",AVERAGEIFS(モーター効率!$C$2:$C$122,モーター効率!$A$2:$A$122,E39,モーター効率!$B$2:$B$122,F39),IF(G39="4極",AVERAGEIFS(モーター効率!$D$2:$D$122,モーター効率!$A$2:$A$122,E39,モーター効率!$B$2:$B$122,F39),IF(G39="6極",AVERAGEIFS(モーター効率!$E$2:$E$122,モーター効率!$A$2:$A$122,E39,モーター効率!$B$2:$B$122,F39),IF(G39="8極",AVERAGEIFS(モーター効率!$F$2:$F$122,モーター効率!$A$2:$A$122,E39,モーター効率!$B$2:$B$122,F39),""))))</f>
        <v/>
      </c>
      <c r="I39" s="164" t="str">
        <f t="shared" si="10"/>
        <v/>
      </c>
      <c r="J39" s="253">
        <v>1</v>
      </c>
      <c r="K39" s="171" t="s">
        <v>382</v>
      </c>
      <c r="L39" s="603"/>
      <c r="M39" s="603"/>
      <c r="N39" s="566">
        <f t="shared" si="11"/>
        <v>0</v>
      </c>
      <c r="O39" s="8">
        <f t="shared" si="12"/>
        <v>0</v>
      </c>
      <c r="P39" s="164">
        <f>IF(O39="","",O39*係数!$H$30)</f>
        <v>0</v>
      </c>
      <c r="Q39" s="556">
        <f>O39*係数!$C$30*0.0000258</f>
        <v>0</v>
      </c>
      <c r="R39" s="183"/>
      <c r="S39" s="3"/>
      <c r="T39" s="84"/>
      <c r="U39" s="170"/>
      <c r="V39" s="84"/>
      <c r="W39" s="553" t="str">
        <f>IF(V39="2極",AVERAGEIFS(モーター効率!$C$2:$C$122,モーター効率!$A$2:$A$122,T39,モーター効率!$B$2:$B$122,U39),IF(V39="4極",AVERAGEIFS(モーター効率!$D$2:$D$122,モーター効率!$A$2:$A$122,T39,モーター効率!$B$2:$B$122,U39),IF(V39="6極",AVERAGEIFS(モーター効率!$E$2:$E$122,モーター効率!$A$2:$A$122,T39,モーター効率!$B$2:$B$122,U39),IF(V39="8極",AVERAGEIFS(モーター効率!$F$2:$F$122,モーター効率!$A$2:$A$122,T39,モーター効率!$B$2:$B$122,U39),""))))</f>
        <v/>
      </c>
      <c r="X39" s="164" t="str">
        <f t="shared" si="13"/>
        <v/>
      </c>
      <c r="Y39" s="253">
        <v>1</v>
      </c>
      <c r="Z39" s="171" t="s">
        <v>382</v>
      </c>
      <c r="AA39" s="604">
        <f t="shared" si="14"/>
        <v>0</v>
      </c>
      <c r="AB39" s="8">
        <f t="shared" si="15"/>
        <v>0</v>
      </c>
      <c r="AC39" s="152">
        <f>IF(AB39="","",AB39*係数!$H$30)</f>
        <v>0</v>
      </c>
      <c r="AD39" s="556">
        <f>AB39*係数!$C$30*0.0000258</f>
        <v>0</v>
      </c>
      <c r="AE39" s="560">
        <f t="shared" si="16"/>
        <v>0</v>
      </c>
      <c r="AF39" s="273">
        <f t="shared" si="17"/>
        <v>0</v>
      </c>
      <c r="AG39" s="561">
        <f t="shared" si="18"/>
        <v>0</v>
      </c>
    </row>
    <row r="40" spans="1:33">
      <c r="G40" s="14"/>
    </row>
    <row r="41" spans="1:33" ht="29">
      <c r="A41" s="13" t="s">
        <v>1030</v>
      </c>
      <c r="AC41" s="496"/>
      <c r="AD41" s="496"/>
    </row>
    <row r="45" spans="1:33">
      <c r="B45" s="500" t="str">
        <f>HYPERLINK("#B1", "【シートトップ】ハイパーリンク")</f>
        <v>【シートトップ】ハイパーリンク</v>
      </c>
    </row>
    <row r="46" spans="1:33">
      <c r="B46" s="610" t="s">
        <v>20</v>
      </c>
      <c r="C46" s="116" t="s">
        <v>22</v>
      </c>
      <c r="D46" s="115"/>
      <c r="E46" s="115"/>
      <c r="F46" s="546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07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07"/>
      <c r="AE46" s="116" t="s">
        <v>31</v>
      </c>
      <c r="AF46" s="115"/>
      <c r="AG46" s="107"/>
    </row>
    <row r="47" spans="1:33" ht="54">
      <c r="B47" s="644"/>
      <c r="C47" s="175" t="s">
        <v>892</v>
      </c>
      <c r="D47" s="547" t="s">
        <v>946</v>
      </c>
      <c r="E47" s="175" t="s">
        <v>159</v>
      </c>
      <c r="F47" s="403" t="s">
        <v>160</v>
      </c>
      <c r="G47" s="175" t="s">
        <v>161</v>
      </c>
      <c r="H47" s="175" t="s">
        <v>162</v>
      </c>
      <c r="I47" s="175" t="s">
        <v>163</v>
      </c>
      <c r="J47" s="175" t="s">
        <v>164</v>
      </c>
      <c r="K47" s="175" t="s">
        <v>365</v>
      </c>
      <c r="L47" s="175" t="s">
        <v>1131</v>
      </c>
      <c r="M47" s="175" t="s">
        <v>39</v>
      </c>
      <c r="N47" s="547" t="s">
        <v>754</v>
      </c>
      <c r="O47" s="175" t="s">
        <v>35</v>
      </c>
      <c r="P47" s="175" t="s">
        <v>165</v>
      </c>
      <c r="Q47" s="320" t="s">
        <v>1116</v>
      </c>
      <c r="R47" s="175" t="s">
        <v>892</v>
      </c>
      <c r="S47" s="547" t="s">
        <v>947</v>
      </c>
      <c r="T47" s="175" t="s">
        <v>159</v>
      </c>
      <c r="U47" s="175" t="s">
        <v>166</v>
      </c>
      <c r="V47" s="175" t="s">
        <v>161</v>
      </c>
      <c r="W47" s="175" t="s">
        <v>167</v>
      </c>
      <c r="X47" s="175" t="s">
        <v>168</v>
      </c>
      <c r="Y47" s="175" t="s">
        <v>169</v>
      </c>
      <c r="Z47" s="175" t="s">
        <v>365</v>
      </c>
      <c r="AA47" s="547" t="s">
        <v>755</v>
      </c>
      <c r="AB47" s="175" t="s">
        <v>40</v>
      </c>
      <c r="AC47" s="175" t="s">
        <v>170</v>
      </c>
      <c r="AD47" s="320" t="s">
        <v>1116</v>
      </c>
      <c r="AE47" s="175" t="s">
        <v>171</v>
      </c>
      <c r="AF47" s="175" t="s">
        <v>172</v>
      </c>
      <c r="AG47" s="403" t="s">
        <v>864</v>
      </c>
    </row>
    <row r="48" spans="1:33">
      <c r="B48" s="102" t="s">
        <v>21</v>
      </c>
      <c r="C48" s="236"/>
      <c r="D48" s="404" t="s">
        <v>870</v>
      </c>
      <c r="E48" s="236"/>
      <c r="F48" s="404" t="s">
        <v>17</v>
      </c>
      <c r="G48" s="404" t="s">
        <v>871</v>
      </c>
      <c r="H48" s="404" t="s">
        <v>18</v>
      </c>
      <c r="I48" s="404" t="s">
        <v>107</v>
      </c>
      <c r="J48" s="404" t="s">
        <v>133</v>
      </c>
      <c r="K48" s="236"/>
      <c r="L48" s="404" t="s">
        <v>867</v>
      </c>
      <c r="M48" s="404" t="s">
        <v>868</v>
      </c>
      <c r="N48" s="404" t="s">
        <v>173</v>
      </c>
      <c r="O48" s="404" t="s">
        <v>19</v>
      </c>
      <c r="P48" s="403" t="s">
        <v>8</v>
      </c>
      <c r="Q48" s="321" t="s">
        <v>761</v>
      </c>
      <c r="R48" s="236"/>
      <c r="S48" s="402" t="s">
        <v>870</v>
      </c>
      <c r="T48" s="141"/>
      <c r="U48" s="402" t="s">
        <v>17</v>
      </c>
      <c r="V48" s="402" t="s">
        <v>871</v>
      </c>
      <c r="W48" s="402" t="s">
        <v>18</v>
      </c>
      <c r="X48" s="402" t="s">
        <v>107</v>
      </c>
      <c r="Y48" s="402" t="s">
        <v>133</v>
      </c>
      <c r="Z48" s="141"/>
      <c r="AA48" s="402" t="s">
        <v>173</v>
      </c>
      <c r="AB48" s="402" t="s">
        <v>19</v>
      </c>
      <c r="AC48" s="101" t="s">
        <v>8</v>
      </c>
      <c r="AD48" s="321" t="s">
        <v>761</v>
      </c>
      <c r="AE48" s="402" t="s">
        <v>19</v>
      </c>
      <c r="AF48" s="101" t="s">
        <v>8</v>
      </c>
      <c r="AG48" s="402" t="s">
        <v>761</v>
      </c>
    </row>
    <row r="49" spans="2:33">
      <c r="B49" s="166" t="s">
        <v>16</v>
      </c>
      <c r="C49" s="425"/>
      <c r="D49" s="14">
        <f>SUM(D50:D52)</f>
        <v>4</v>
      </c>
      <c r="E49" s="425"/>
      <c r="F49" s="563">
        <f>SUMPRODUCT(D50:D52*F50:F52)</f>
        <v>52</v>
      </c>
      <c r="G49" s="425"/>
      <c r="H49" s="425"/>
      <c r="I49" s="425"/>
      <c r="J49" s="425"/>
      <c r="K49" s="425"/>
      <c r="L49" s="563"/>
      <c r="M49" s="563"/>
      <c r="N49" s="52">
        <f t="shared" ref="N49:Q49" si="19">SUM(N50:N52)</f>
        <v>1979.5039999999999</v>
      </c>
      <c r="O49" s="51">
        <f t="shared" si="19"/>
        <v>39427.225222184657</v>
      </c>
      <c r="P49" s="55">
        <f t="shared" si="19"/>
        <v>16.993134070761588</v>
      </c>
      <c r="Q49" s="322">
        <f t="shared" si="19"/>
        <v>8.7888016287276258</v>
      </c>
      <c r="R49" s="83"/>
      <c r="S49" s="14">
        <f>SUM(S50:S52)</f>
        <v>4</v>
      </c>
      <c r="T49" s="425"/>
      <c r="U49" s="21">
        <f>SUMPRODUCT($S50:$S52*U50:U52)</f>
        <v>52</v>
      </c>
      <c r="V49" s="425"/>
      <c r="W49" s="425"/>
      <c r="X49" s="425"/>
      <c r="Y49" s="198"/>
      <c r="Z49" s="425"/>
      <c r="AA49" s="564">
        <f>SUM(AA50:AA52)</f>
        <v>1979.5039999999999</v>
      </c>
      <c r="AB49" s="51">
        <f>SUM(AB50:AB52)</f>
        <v>37477.622568812476</v>
      </c>
      <c r="AC49" s="163">
        <f>SUM(AC50:AC52)</f>
        <v>16.152855327158179</v>
      </c>
      <c r="AD49" s="322">
        <f>SUM(AD50:AD52)</f>
        <v>8.3542118020591278</v>
      </c>
      <c r="AE49" s="111">
        <f t="shared" ref="AE49:AF49" si="20">SUM(AE50:AE52)</f>
        <v>1949.6026533721797</v>
      </c>
      <c r="AF49" s="163">
        <f t="shared" si="20"/>
        <v>0.84027874360340971</v>
      </c>
      <c r="AG49" s="192">
        <f>SUM(AG50:AG52)</f>
        <v>0.4345898266684996</v>
      </c>
    </row>
    <row r="50" spans="2:33">
      <c r="B50" s="100" t="s">
        <v>49</v>
      </c>
      <c r="C50" s="419" t="s">
        <v>1043</v>
      </c>
      <c r="D50" s="419">
        <v>1</v>
      </c>
      <c r="E50" s="487" t="s">
        <v>175</v>
      </c>
      <c r="F50" s="552">
        <v>22</v>
      </c>
      <c r="G50" s="487" t="s">
        <v>218</v>
      </c>
      <c r="H50" s="553">
        <f>IF(G50="2極",AVERAGEIFS(モーター効率!$C$2:$C$122,モーター効率!$A$2:$A$122,E50,モーター効率!$B$2:$B$122,F50),IF(G50="4極",AVERAGEIFS(モーター効率!$D$2:$D$122,モーター効率!$A$2:$A$122,E50,モーター効率!$B$2:$B$122,F50),IF(G50="6極",AVERAGEIFS(モーター効率!$E$2:$E$122,モーター効率!$A$2:$A$122,E50,モーター効率!$B$2:$B$122,F50),IF(G50="8極",AVERAGEIFS(モーター効率!$F$2:$F$122,モーター効率!$A$2:$A$122,E50,モーター効率!$B$2:$B$122,F50),""))))</f>
        <v>0.89900000000000002</v>
      </c>
      <c r="I50" s="164">
        <f>IF(H50="","",F50/H50)</f>
        <v>24.471635150166851</v>
      </c>
      <c r="J50" s="253">
        <v>1</v>
      </c>
      <c r="K50" s="554" t="s">
        <v>382</v>
      </c>
      <c r="L50" s="565">
        <v>2.3456000000000001</v>
      </c>
      <c r="M50" s="555">
        <v>340</v>
      </c>
      <c r="N50" s="566">
        <f t="shared" ref="N50:N52" si="21">L50*M50</f>
        <v>797.50400000000002</v>
      </c>
      <c r="O50" s="8">
        <f>IF(OR(D50="",I50="",J50="",N50=""),0,IF(K50="○",D50*I50*J50^2*N50,D50*I50*J50*N50))</f>
        <v>19516.226918798664</v>
      </c>
      <c r="P50" s="164">
        <f>IF(O50="","",O50*係数!$H$30)</f>
        <v>8.4114938020022247</v>
      </c>
      <c r="Q50" s="556">
        <f>O50*係数!$C$30*0.0000258</f>
        <v>4.3504011749232481</v>
      </c>
      <c r="R50" s="557" t="s">
        <v>1046</v>
      </c>
      <c r="S50" s="419">
        <v>1</v>
      </c>
      <c r="T50" s="487" t="s">
        <v>1031</v>
      </c>
      <c r="U50" s="558">
        <v>22</v>
      </c>
      <c r="V50" s="487" t="s">
        <v>218</v>
      </c>
      <c r="W50" s="553">
        <f>IF(V50="2極",AVERAGEIFS(モーター効率!$C$2:$C$122,モーター効率!$A$2:$A$122,T50,モーター効率!$B$2:$B$122,U50),IF(V50="4極",AVERAGEIFS(モーター効率!$D$2:$D$122,モーター効率!$A$2:$A$122,T50,モーター効率!$B$2:$B$122,U50),IF(V50="6極",AVERAGEIFS(モーター効率!$E$2:$E$122,モーター効率!$A$2:$A$122,T50,モーター効率!$B$2:$B$122,U50),IF(V50="8極",AVERAGEIFS(モーター効率!$F$2:$F$122,モーター効率!$A$2:$A$122,T50,モーター効率!$B$2:$B$122,U50),""))))</f>
        <v>0.94499999999999995</v>
      </c>
      <c r="X50" s="164">
        <f>IF(W50="","",U50/W50)</f>
        <v>23.280423280423282</v>
      </c>
      <c r="Y50" s="253">
        <f>IF(OR(F50=0,J50=0,U50=0),"",IF(F50*D50&lt;U50*S50,F50*J50/U50,J50))</f>
        <v>1</v>
      </c>
      <c r="Z50" s="554" t="s">
        <v>229</v>
      </c>
      <c r="AA50" s="559">
        <f>IF(N50="","",N50)</f>
        <v>797.50400000000002</v>
      </c>
      <c r="AB50" s="8">
        <f>IF(OR(S50="",X50="",Y50="",AA50=""),0,IF(Z50="○",S50*X50*Y50^2*AA50,S50*X50*Y50*AA50))</f>
        <v>18566.230687830688</v>
      </c>
      <c r="AC50" s="152">
        <f>IF(AB50="","",AB50*係数!$H$30)</f>
        <v>8.0020454264550267</v>
      </c>
      <c r="AD50" s="556">
        <f>AB50*係数!$C$30*0.0000258</f>
        <v>4.1386356150857146</v>
      </c>
      <c r="AE50" s="560">
        <f>IF(OR(O50="",AB50=""),"",O50-AB50)</f>
        <v>949.99623096797586</v>
      </c>
      <c r="AF50" s="273">
        <f t="shared" ref="AF50:AG52" si="22">P50-AC50</f>
        <v>0.40944837554719804</v>
      </c>
      <c r="AG50" s="561">
        <f t="shared" si="22"/>
        <v>0.21176555983753342</v>
      </c>
    </row>
    <row r="51" spans="2:33">
      <c r="B51" s="100" t="s">
        <v>50</v>
      </c>
      <c r="C51" s="419" t="s">
        <v>1044</v>
      </c>
      <c r="D51" s="419">
        <v>1</v>
      </c>
      <c r="E51" s="487" t="s">
        <v>174</v>
      </c>
      <c r="F51" s="552">
        <v>15</v>
      </c>
      <c r="G51" s="487" t="s">
        <v>1032</v>
      </c>
      <c r="H51" s="553">
        <f>IF(G51="2極",AVERAGEIFS(モーター効率!$C$2:$C$122,モーター効率!$A$2:$A$122,E51,モーター効率!$B$2:$B$122,F51),IF(G51="4極",AVERAGEIFS(モーター効率!$D$2:$D$122,モーター効率!$A$2:$A$122,E51,モーター効率!$B$2:$B$122,F51),IF(G51="6極",AVERAGEIFS(モーター効率!$E$2:$E$122,モーター効率!$A$2:$A$122,E51,モーター効率!$B$2:$B$122,F51),IF(G51="8極",AVERAGEIFS(モーター効率!$F$2:$F$122,モーター効率!$A$2:$A$122,E51,モーター効率!$B$2:$B$122,F51),""))))</f>
        <v>0.91900000000000004</v>
      </c>
      <c r="I51" s="164">
        <f>IF(H51="","",F51/H51)</f>
        <v>16.32208922742111</v>
      </c>
      <c r="J51" s="253">
        <v>1</v>
      </c>
      <c r="K51" s="567" t="s">
        <v>382</v>
      </c>
      <c r="L51" s="568">
        <v>0.66</v>
      </c>
      <c r="M51" s="562">
        <v>200</v>
      </c>
      <c r="N51" s="566">
        <f t="shared" si="21"/>
        <v>132</v>
      </c>
      <c r="O51" s="8">
        <f t="shared" ref="O51:O52" si="23">IF(OR(D51="",I51="",J51="",N51=""),0,IF(K51="○",D51*I51*J51^2*N51,D51*I51*J51*N51))</f>
        <v>2154.5157780195864</v>
      </c>
      <c r="P51" s="164">
        <f>IF(O51="","",O51*係数!$H$30)</f>
        <v>0.9285963003264418</v>
      </c>
      <c r="Q51" s="556">
        <f>O51*係数!$C$30*0.0000258</f>
        <v>0.48026742110990212</v>
      </c>
      <c r="R51" s="557" t="s">
        <v>1047</v>
      </c>
      <c r="S51" s="419">
        <v>2</v>
      </c>
      <c r="T51" s="487" t="s">
        <v>1031</v>
      </c>
      <c r="U51" s="558">
        <v>7.5</v>
      </c>
      <c r="V51" s="487" t="s">
        <v>218</v>
      </c>
      <c r="W51" s="553">
        <f>IF(V51="2極",AVERAGEIFS(モーター効率!$C$2:$C$122,モーター効率!$A$2:$A$122,T51,モーター効率!$B$2:$B$122,U51),IF(V51="4極",AVERAGEIFS(モーター効率!$D$2:$D$122,モーター効率!$A$2:$A$122,T51,モーター効率!$B$2:$B$122,U51),IF(V51="6極",AVERAGEIFS(モーター効率!$E$2:$E$122,モーター効率!$A$2:$A$122,T51,モーター効率!$B$2:$B$122,U51),IF(V51="8極",AVERAGEIFS(モーター効率!$F$2:$F$122,モーター効率!$A$2:$A$122,T51,モーター効率!$B$2:$B$122,U51),""))))</f>
        <v>0.92599999999999993</v>
      </c>
      <c r="X51" s="164">
        <f t="shared" ref="X51:X52" si="24">IF(W51="","",U51/W51)</f>
        <v>8.0993520518358544</v>
      </c>
      <c r="Y51" s="253">
        <f>IF(OR(F51=0,J51=0,U51=0),"",IF(F51*D51&lt;U51*S51,F51*J51/U51,J51))</f>
        <v>1</v>
      </c>
      <c r="Z51" s="567" t="s">
        <v>229</v>
      </c>
      <c r="AA51" s="559">
        <f>IF(N51="","",N51)</f>
        <v>132</v>
      </c>
      <c r="AB51" s="8">
        <f t="shared" ref="AB51:AB52" si="25">IF(OR(S51="",X51="",Y51="",AA51=""),0,IF(Z51="○",S51*X51*Y51^2*AA51,S51*X51*Y51*AA51))</f>
        <v>2138.2289416846656</v>
      </c>
      <c r="AC51" s="152">
        <f>IF(AB51="","",AB51*係数!$H$30)</f>
        <v>0.92157667386609088</v>
      </c>
      <c r="AD51" s="556">
        <f>AB51*係数!$C$30*0.0000258</f>
        <v>0.47663688984881225</v>
      </c>
      <c r="AE51" s="560">
        <f>IF(OR(O51="",AB51=""),"",O51-AB51)</f>
        <v>16.286836334920736</v>
      </c>
      <c r="AF51" s="273">
        <f t="shared" si="22"/>
        <v>7.0196264603509251E-3</v>
      </c>
      <c r="AG51" s="561">
        <f t="shared" si="22"/>
        <v>3.6305312610898643E-3</v>
      </c>
    </row>
    <row r="52" spans="2:33">
      <c r="B52" s="100" t="s">
        <v>51</v>
      </c>
      <c r="C52" s="419" t="s">
        <v>1045</v>
      </c>
      <c r="D52" s="419">
        <v>2</v>
      </c>
      <c r="E52" s="487" t="s">
        <v>366</v>
      </c>
      <c r="F52" s="552">
        <v>7.5</v>
      </c>
      <c r="G52" s="487" t="s">
        <v>218</v>
      </c>
      <c r="H52" s="553">
        <f>IF(G52="2極",AVERAGEIFS(モーター効率!$C$2:$C$122,モーター効率!$A$2:$A$122,E52,モーター効率!$B$2:$B$122,F52),IF(G52="4極",AVERAGEIFS(モーター効率!$D$2:$D$122,モーター効率!$A$2:$A$122,E52,モーター効率!$B$2:$B$122,F52),IF(G52="6極",AVERAGEIFS(モーター効率!$E$2:$E$122,モーター効率!$A$2:$A$122,E52,モーター効率!$B$2:$B$122,F52),IF(G52="8極",AVERAGEIFS(モーター効率!$F$2:$F$122,モーター効率!$A$2:$A$122,E52,モーター効率!$B$2:$B$122,F52),""))))</f>
        <v>0.88700000000000001</v>
      </c>
      <c r="I52" s="164">
        <f t="shared" ref="I52" si="26">IF(H52="","",F52/H52)</f>
        <v>8.4554678692220975</v>
      </c>
      <c r="J52" s="253">
        <v>1</v>
      </c>
      <c r="K52" s="567" t="s">
        <v>382</v>
      </c>
      <c r="L52" s="568">
        <v>3</v>
      </c>
      <c r="M52" s="562">
        <v>350</v>
      </c>
      <c r="N52" s="566">
        <f t="shared" si="21"/>
        <v>1050</v>
      </c>
      <c r="O52" s="8">
        <f t="shared" si="23"/>
        <v>17756.482525366406</v>
      </c>
      <c r="P52" s="164">
        <f>IF(O52="","",O52*係数!$H$30)</f>
        <v>7.6530439684329208</v>
      </c>
      <c r="Q52" s="556">
        <f>O52*係数!$C$30*0.0000258</f>
        <v>3.9581330326944766</v>
      </c>
      <c r="R52" s="557" t="s">
        <v>1048</v>
      </c>
      <c r="S52" s="419">
        <v>1</v>
      </c>
      <c r="T52" s="487" t="s">
        <v>1031</v>
      </c>
      <c r="U52" s="558">
        <v>15</v>
      </c>
      <c r="V52" s="487" t="s">
        <v>218</v>
      </c>
      <c r="W52" s="553">
        <f>IF(V52="2極",AVERAGEIFS(モーター効率!$C$2:$C$122,モーター効率!$A$2:$A$122,T52,モーター効率!$B$2:$B$122,U52),IF(V52="4極",AVERAGEIFS(モーター効率!$D$2:$D$122,モーター効率!$A$2:$A$122,T52,モーター効率!$B$2:$B$122,U52),IF(V52="6極",AVERAGEIFS(モーター効率!$E$2:$E$122,モーター効率!$A$2:$A$122,T52,モーター効率!$B$2:$B$122,U52),IF(V52="8極",AVERAGEIFS(モーター効率!$F$2:$F$122,モーター効率!$A$2:$A$122,T52,モーター効率!$B$2:$B$122,U52),""))))</f>
        <v>0.93900000000000006</v>
      </c>
      <c r="X52" s="164">
        <f t="shared" si="24"/>
        <v>15.974440894568689</v>
      </c>
      <c r="Y52" s="253">
        <f>IF(OR(F52=0,J52=0,U52=0),"",IF(F52*D52&lt;U52*S52,F52*J52/U52,J52))</f>
        <v>1</v>
      </c>
      <c r="Z52" s="567" t="s">
        <v>229</v>
      </c>
      <c r="AA52" s="559">
        <f t="shared" ref="AA52" si="27">IF(N52="","",N52)</f>
        <v>1050</v>
      </c>
      <c r="AB52" s="8">
        <f t="shared" si="25"/>
        <v>16773.162939297123</v>
      </c>
      <c r="AC52" s="152">
        <f>IF(AB52="","",AB52*係数!$H$30)</f>
        <v>7.22923322683706</v>
      </c>
      <c r="AD52" s="556">
        <f>AB52*係数!$C$30*0.0000258</f>
        <v>3.7389392971246003</v>
      </c>
      <c r="AE52" s="560">
        <f>IF(OR(O52="",AB52=""),"",O52-AB52)</f>
        <v>983.3195860692831</v>
      </c>
      <c r="AF52" s="273">
        <f t="shared" si="22"/>
        <v>0.42381074159586074</v>
      </c>
      <c r="AG52" s="561">
        <f t="shared" si="22"/>
        <v>0.21919373556987631</v>
      </c>
    </row>
  </sheetData>
  <sheetProtection algorithmName="SHA-512" hashValue="p9rIc/X49Qsd2RK8Loy7V6yScvpAMcsfTQhtY7JJswjaa7y5d24TmGufi2aR9+0QZW8m1X9zRrQqOgOj8lEUrA==" saltValue="+VvM7dB+9yBwXkzlDQitmQ==" spinCount="100000" sheet="1" formatCells="0" formatColumns="0" formatRows="0"/>
  <mergeCells count="10">
    <mergeCell ref="B46:B47"/>
    <mergeCell ref="L3:U3"/>
    <mergeCell ref="L4:U4"/>
    <mergeCell ref="B16:B17"/>
    <mergeCell ref="L6:U6"/>
    <mergeCell ref="M7:U7"/>
    <mergeCell ref="B4:C4"/>
    <mergeCell ref="B5:C5"/>
    <mergeCell ref="B6:C6"/>
    <mergeCell ref="B7:C7"/>
  </mergeCells>
  <phoneticPr fontId="6"/>
  <conditionalFormatting sqref="AC20:AC39">
    <cfRule type="expression" dxfId="26" priority="12">
      <formula>#REF!="なし"</formula>
    </cfRule>
  </conditionalFormatting>
  <conditionalFormatting sqref="J4:J5 J7">
    <cfRule type="expression" dxfId="25" priority="11">
      <formula>$E$1="なし"</formula>
    </cfRule>
  </conditionalFormatting>
  <conditionalFormatting sqref="H7">
    <cfRule type="expression" dxfId="24" priority="9">
      <formula>$E$1="なし"</formula>
    </cfRule>
  </conditionalFormatting>
  <conditionalFormatting sqref="J6">
    <cfRule type="expression" dxfId="23" priority="8">
      <formula>$E$1="なし"</formula>
    </cfRule>
  </conditionalFormatting>
  <conditionalFormatting sqref="E7">
    <cfRule type="expression" dxfId="22" priority="7">
      <formula>$E$1="なし"</formula>
    </cfRule>
  </conditionalFormatting>
  <conditionalFormatting sqref="F7">
    <cfRule type="expression" dxfId="21" priority="6">
      <formula>$E$1="なし"</formula>
    </cfRule>
  </conditionalFormatting>
  <conditionalFormatting sqref="U19">
    <cfRule type="cellIs" dxfId="20" priority="5" operator="greaterThan">
      <formula>$F$19</formula>
    </cfRule>
  </conditionalFormatting>
  <conditionalFormatting sqref="M7:U7">
    <cfRule type="cellIs" dxfId="19" priority="4" operator="notEqual">
      <formula>"ー"</formula>
    </cfRule>
  </conditionalFormatting>
  <conditionalFormatting sqref="AC50:AC52">
    <cfRule type="expression" dxfId="18" priority="2">
      <formula>#REF!="なし"</formula>
    </cfRule>
  </conditionalFormatting>
  <conditionalFormatting sqref="U49">
    <cfRule type="cellIs" dxfId="17" priority="1" operator="greaterThan">
      <formula>$F$49</formula>
    </cfRule>
  </conditionalFormatting>
  <dataValidations count="4">
    <dataValidation type="list" allowBlank="1" showInputMessage="1" showErrorMessage="1" sqref="T20:T39 T50:T52 E50:E52 E20:E39">
      <formula1>"IE1,IE2,IE3,IE4"</formula1>
    </dataValidation>
    <dataValidation type="list" allowBlank="1" showInputMessage="1" showErrorMessage="1" sqref="U20:U39 U50:U52">
      <formula1>INDIRECT("range"&amp;T20)</formula1>
    </dataValidation>
    <dataValidation type="list" errorStyle="warning" allowBlank="1" showInputMessage="1" showErrorMessage="1" errorTitle="プルダウンにない出力のモーターの場合" error="手入力の上、根拠となる資料を別途提出してください。" sqref="F20:F39 F50:F52">
      <formula1>INDIRECT("range"&amp;E20)</formula1>
    </dataValidation>
    <dataValidation type="list" allowBlank="1" showInputMessage="1" showErrorMessage="1" sqref="K50:K52 Z20:Z39 Z50:Z52 K20:K39">
      <formula1>"ー,○"</formula1>
    </dataValidation>
  </dataValidations>
  <hyperlinks>
    <hyperlink ref="Q10" display="https://www.enecho.meti.go.jp/category/saving_and_new/saving/enterprise/equipment/"/>
    <hyperlink ref="Q11" location="search" display="https://sii.or.jp/setsubi05r/search/maker?tab=maker&amp;category=led_light#search"/>
  </hyperlinks>
  <pageMargins left="0.70866141732283472" right="0.70866141732283472" top="0.74803149606299213" bottom="0.74803149606299213" header="0.31496062992125984" footer="0.31496062992125984"/>
  <pageSetup paperSize="8" fitToHeight="0" orientation="landscape"/>
  <colBreaks count="1" manualBreakCount="1">
    <brk id="17" max="28" man="1"/>
  </colBreaks>
  <ignoredErrors>
    <ignoredError sqref="T19 V19:Z19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IF($E$20="IE4",モーター効率!$C$1:$F$1,モーター効率!$C$1:$E$1)</xm:f>
          </x14:formula1>
          <xm:sqref>G20 G50</xm:sqref>
        </x14:dataValidation>
        <x14:dataValidation type="list" allowBlank="1" showInputMessage="1" showErrorMessage="1">
          <x14:formula1>
            <xm:f>IF($E$21="IE4",モーター効率!$C$1:$F$1,モーター効率!$C$1:$E$1)</xm:f>
          </x14:formula1>
          <xm:sqref>G21 G51</xm:sqref>
        </x14:dataValidation>
        <x14:dataValidation type="list" allowBlank="1" showInputMessage="1" showErrorMessage="1">
          <x14:formula1>
            <xm:f>IF($E$22="IE4",モーター効率!$C$1:$F$1,モーター効率!$C$1:$E$1)</xm:f>
          </x14:formula1>
          <xm:sqref>G22 G52</xm:sqref>
        </x14:dataValidation>
        <x14:dataValidation type="list" allowBlank="1" showInputMessage="1" showErrorMessage="1">
          <x14:formula1>
            <xm:f>IF($E$23="IE4",モーター効率!$C$1:$F$1,モーター効率!$C$1:$E$1)</xm:f>
          </x14:formula1>
          <xm:sqref>G23</xm:sqref>
        </x14:dataValidation>
        <x14:dataValidation type="list" allowBlank="1" showInputMessage="1" showErrorMessage="1">
          <x14:formula1>
            <xm:f>IF($E$24="IE4",モーター効率!$C$1:$F$1,モーター効率!$C$1:$E$1)</xm:f>
          </x14:formula1>
          <xm:sqref>G24</xm:sqref>
        </x14:dataValidation>
        <x14:dataValidation type="list" allowBlank="1" showInputMessage="1" showErrorMessage="1">
          <x14:formula1>
            <xm:f>IF($E$25="IE4",モーター効率!$C$1:$F$1,モーター効率!$C$1:$E$1)</xm:f>
          </x14:formula1>
          <xm:sqref>G25</xm:sqref>
        </x14:dataValidation>
        <x14:dataValidation type="list" allowBlank="1" showInputMessage="1" showErrorMessage="1">
          <x14:formula1>
            <xm:f>IF($E$26="IE4",モーター効率!$C$1:$F$1,モーター効率!$C$1:$E$1)</xm:f>
          </x14:formula1>
          <xm:sqref>G26</xm:sqref>
        </x14:dataValidation>
        <x14:dataValidation type="list" allowBlank="1" showInputMessage="1" showErrorMessage="1">
          <x14:formula1>
            <xm:f>IF($E$27="IE4",モーター効率!$C$1:$F$1,モーター効率!$C$1:$E$1)</xm:f>
          </x14:formula1>
          <xm:sqref>G27</xm:sqref>
        </x14:dataValidation>
        <x14:dataValidation type="list" allowBlank="1" showInputMessage="1" showErrorMessage="1">
          <x14:formula1>
            <xm:f>IF($E$28="IE4",モーター効率!$C$1:$F$1,モーター効率!$C$1:$E$1)</xm:f>
          </x14:formula1>
          <xm:sqref>G28</xm:sqref>
        </x14:dataValidation>
        <x14:dataValidation type="list" allowBlank="1" showInputMessage="1" showErrorMessage="1">
          <x14:formula1>
            <xm:f>IF($E$29="IE4",モーター効率!$C$1:$F$1,モーター効率!$C$1:$E$1)</xm:f>
          </x14:formula1>
          <xm:sqref>G29:G39</xm:sqref>
        </x14:dataValidation>
        <x14:dataValidation type="list" allowBlank="1" showInputMessage="1" showErrorMessage="1">
          <x14:formula1>
            <xm:f>IF($T$21="IE4",モーター効率!$C$1:$F$1,モーター効率!$C$1:$E$1)</xm:f>
          </x14:formula1>
          <xm:sqref>V21 V51</xm:sqref>
        </x14:dataValidation>
        <x14:dataValidation type="list" allowBlank="1" showInputMessage="1" showErrorMessage="1">
          <x14:formula1>
            <xm:f>IF($T$22="IE4",モーター効率!$C$1:$F$1,モーター効率!$C$1:$E$1)</xm:f>
          </x14:formula1>
          <xm:sqref>V22 V52</xm:sqref>
        </x14:dataValidation>
        <x14:dataValidation type="list" allowBlank="1" showInputMessage="1" showErrorMessage="1">
          <x14:formula1>
            <xm:f>IF($T$23="IE4",モーター効率!$C$1:$F$1,モーター効率!$C$1:$E$1)</xm:f>
          </x14:formula1>
          <xm:sqref>V23</xm:sqref>
        </x14:dataValidation>
        <x14:dataValidation type="list" allowBlank="1" showInputMessage="1" showErrorMessage="1">
          <x14:formula1>
            <xm:f>IF($T$24="IE4",モーター効率!$C$1:$F$1,モーター効率!$C$1:$E$1)</xm:f>
          </x14:formula1>
          <xm:sqref>V24</xm:sqref>
        </x14:dataValidation>
        <x14:dataValidation type="list" allowBlank="1" showInputMessage="1" showErrorMessage="1">
          <x14:formula1>
            <xm:f>IF($T$25="IE4",モーター効率!$C$1:$F$1,モーター効率!$C$1:$E$1)</xm:f>
          </x14:formula1>
          <xm:sqref>V25</xm:sqref>
        </x14:dataValidation>
        <x14:dataValidation type="list" allowBlank="1" showInputMessage="1" showErrorMessage="1">
          <x14:formula1>
            <xm:f>IF($T$26="IE4",モーター効率!$C$1:$F$1,モーター効率!$C$1:$E$1)</xm:f>
          </x14:formula1>
          <xm:sqref>V26</xm:sqref>
        </x14:dataValidation>
        <x14:dataValidation type="list" allowBlank="1" showInputMessage="1" showErrorMessage="1">
          <x14:formula1>
            <xm:f>IF($T$27="IE4",モーター効率!$C$1:$F$1,モーター効率!$C$1:$E$1)</xm:f>
          </x14:formula1>
          <xm:sqref>V27</xm:sqref>
        </x14:dataValidation>
        <x14:dataValidation type="list" allowBlank="1" showInputMessage="1" showErrorMessage="1">
          <x14:formula1>
            <xm:f>IF($T$28="IE4",モーター効率!$C$1:$F$1,モーター効率!$C$1:$E$1)</xm:f>
          </x14:formula1>
          <xm:sqref>V28</xm:sqref>
        </x14:dataValidation>
        <x14:dataValidation type="list" allowBlank="1" showInputMessage="1" showErrorMessage="1">
          <x14:formula1>
            <xm:f>IF($T$29="IE4",モーター効率!$C$1:$F$1,モーター効率!$C$1:$E$1)</xm:f>
          </x14:formula1>
          <xm:sqref>V29:V39</xm:sqref>
        </x14:dataValidation>
        <x14:dataValidation type="list" allowBlank="1" showInputMessage="1" showErrorMessage="1">
          <x14:formula1>
            <xm:f>IF($T$20="IE4",モーター効率!$C$1:$F$1,モーター効率!$C$1:$E$1)</xm:f>
          </x14:formula1>
          <xm:sqref>V20 V50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zoomScaleNormal="100" workbookViewId="0">
      <selection activeCell="C20" sqref="C20"/>
    </sheetView>
  </sheetViews>
  <sheetFormatPr defaultRowHeight="18"/>
  <cols>
    <col min="1" max="1" width="3.58203125" style="14" customWidth="1"/>
    <col min="2" max="2" width="10.08203125" style="14" customWidth="1"/>
    <col min="3" max="3" width="15.58203125" style="14" customWidth="1"/>
    <col min="4" max="5" width="9.1640625" style="14" customWidth="1"/>
    <col min="6" max="6" width="12.5" style="14" customWidth="1"/>
    <col min="7" max="14" width="9.1640625" style="14" customWidth="1"/>
    <col min="15" max="15" width="9.58203125" style="14" customWidth="1"/>
    <col min="16" max="16" width="15.58203125" style="14" customWidth="1"/>
    <col min="17" max="17" width="9.1640625" style="14" customWidth="1"/>
    <col min="18" max="18" width="11.4140625" style="14" bestFit="1" customWidth="1"/>
    <col min="19" max="29" width="10.08203125" style="14" customWidth="1"/>
    <col min="30" max="16384" width="8.6640625" style="14"/>
  </cols>
  <sheetData>
    <row r="1" spans="1:29" ht="29">
      <c r="A1" s="13" t="str">
        <f>照明!A1</f>
        <v>令和7年度：排出量削減効果算定シート</v>
      </c>
      <c r="F1" s="22"/>
      <c r="G1" s="22"/>
      <c r="H1" s="22"/>
      <c r="I1" s="409"/>
      <c r="J1" s="409"/>
      <c r="K1" s="22"/>
      <c r="L1" s="22"/>
      <c r="M1" s="22"/>
      <c r="N1" s="410"/>
      <c r="O1" s="410"/>
      <c r="P1" s="22"/>
    </row>
    <row r="2" spans="1:29" ht="29">
      <c r="A2" s="13" t="s">
        <v>176</v>
      </c>
    </row>
    <row r="3" spans="1:29" ht="22.75" customHeight="1">
      <c r="B3" s="259" t="s">
        <v>928</v>
      </c>
      <c r="I3" s="19"/>
      <c r="J3" s="229"/>
      <c r="K3" s="616" t="str">
        <f>IF(OR(K7="",K7="なし"),"特記事項","特記事項（記載必須）")</f>
        <v>特記事項</v>
      </c>
      <c r="L3" s="616"/>
      <c r="M3" s="616"/>
      <c r="N3" s="616"/>
      <c r="O3" s="616"/>
      <c r="P3" s="616"/>
      <c r="Q3" s="616"/>
      <c r="R3" s="616"/>
      <c r="S3" s="616"/>
      <c r="T3" s="616"/>
      <c r="X3" s="229"/>
    </row>
    <row r="4" spans="1:29" ht="22.75" customHeight="1">
      <c r="B4" s="621" t="s">
        <v>20</v>
      </c>
      <c r="C4" s="622"/>
      <c r="D4" s="404" t="s">
        <v>21</v>
      </c>
      <c r="E4" s="404" t="s">
        <v>22</v>
      </c>
      <c r="F4" s="404" t="s">
        <v>23</v>
      </c>
      <c r="G4" s="404" t="s">
        <v>24</v>
      </c>
      <c r="I4" s="19"/>
      <c r="J4" s="569"/>
      <c r="K4" s="653" t="s">
        <v>1038</v>
      </c>
      <c r="L4" s="653"/>
      <c r="M4" s="653"/>
      <c r="N4" s="653"/>
      <c r="O4" s="653"/>
      <c r="P4" s="653"/>
      <c r="Q4" s="653"/>
      <c r="R4" s="653"/>
      <c r="S4" s="653"/>
      <c r="T4" s="653"/>
      <c r="X4" s="448"/>
    </row>
    <row r="5" spans="1:29" ht="22.75" customHeight="1">
      <c r="B5" s="623" t="s">
        <v>26</v>
      </c>
      <c r="C5" s="624"/>
      <c r="D5" s="404" t="s">
        <v>19</v>
      </c>
      <c r="E5" s="315">
        <f>M19</f>
        <v>0</v>
      </c>
      <c r="F5" s="315">
        <f>X19</f>
        <v>0</v>
      </c>
      <c r="G5" s="570">
        <f>AA19</f>
        <v>0</v>
      </c>
      <c r="I5" s="19"/>
      <c r="J5" s="571"/>
      <c r="K5" s="572"/>
      <c r="L5" s="572"/>
      <c r="N5" s="19"/>
      <c r="O5" s="19"/>
      <c r="P5" s="448"/>
      <c r="Q5" s="448"/>
      <c r="R5" s="448"/>
      <c r="S5" s="448"/>
      <c r="T5" s="448"/>
      <c r="U5" s="448"/>
      <c r="V5" s="448"/>
      <c r="W5" s="448"/>
      <c r="X5" s="448"/>
    </row>
    <row r="6" spans="1:29" ht="22.75" customHeight="1">
      <c r="B6" s="623" t="s">
        <v>3</v>
      </c>
      <c r="C6" s="624"/>
      <c r="D6" s="403" t="s">
        <v>8</v>
      </c>
      <c r="E6" s="573">
        <f>N19</f>
        <v>0</v>
      </c>
      <c r="F6" s="573">
        <f>Y19</f>
        <v>0</v>
      </c>
      <c r="G6" s="380">
        <f>ROUND(AB19,1)</f>
        <v>0</v>
      </c>
      <c r="I6" s="19"/>
      <c r="J6" s="331"/>
      <c r="K6" s="618" t="s">
        <v>372</v>
      </c>
      <c r="L6" s="618"/>
      <c r="M6" s="618"/>
      <c r="N6" s="618"/>
      <c r="O6" s="618"/>
      <c r="P6" s="618"/>
      <c r="Q6" s="618"/>
      <c r="R6" s="618"/>
      <c r="S6" s="618"/>
      <c r="T6" s="618"/>
    </row>
    <row r="7" spans="1:29" ht="28.5" customHeight="1">
      <c r="B7" s="625" t="s">
        <v>1117</v>
      </c>
      <c r="C7" s="626"/>
      <c r="D7" s="404" t="s">
        <v>29</v>
      </c>
      <c r="E7" s="76">
        <f>O19</f>
        <v>0</v>
      </c>
      <c r="F7" s="76">
        <f>Z19</f>
        <v>0</v>
      </c>
      <c r="G7" s="337">
        <f>ROUND(AC19,1)</f>
        <v>0</v>
      </c>
      <c r="K7" s="574" t="str">
        <f>IF(OR(D19=0,Q19=0),"",IF(D19=Q19,"なし",IF(D19&gt;Q19,"減少","増加")))</f>
        <v/>
      </c>
      <c r="L7" s="619" t="str">
        <f>IF(OR(K7="",K7="なし"),"ー",IF(K7="減少","減少する理由を特記事項欄に記載してください。","やむを得ず増加する場合は特記事項欄に理由を記載してください。(要根拠資料提出)"))</f>
        <v>ー</v>
      </c>
      <c r="M7" s="619"/>
      <c r="N7" s="619"/>
      <c r="O7" s="619"/>
      <c r="P7" s="619"/>
      <c r="Q7" s="619"/>
      <c r="R7" s="619"/>
      <c r="S7" s="619"/>
      <c r="T7" s="619"/>
    </row>
    <row r="8" spans="1:29" ht="18.649999999999999" customHeight="1">
      <c r="B8" s="453" t="s">
        <v>1050</v>
      </c>
      <c r="K8" s="447"/>
      <c r="L8" s="447"/>
      <c r="N8" s="447"/>
      <c r="O8" s="447"/>
      <c r="P8" s="447"/>
    </row>
    <row r="9" spans="1:29" ht="18.649999999999999" customHeight="1" thickBot="1">
      <c r="P9" s="447"/>
      <c r="Q9" s="447"/>
      <c r="S9" s="447"/>
      <c r="T9" s="447"/>
      <c r="U9" s="447"/>
      <c r="X9" s="52"/>
    </row>
    <row r="10" spans="1:29" ht="18.649999999999999" customHeight="1">
      <c r="K10" s="454" t="s">
        <v>888</v>
      </c>
      <c r="L10" s="455"/>
      <c r="M10" s="456"/>
      <c r="N10" s="303"/>
      <c r="O10" s="316"/>
      <c r="P10" s="575" t="s">
        <v>878</v>
      </c>
      <c r="Q10" s="511"/>
      <c r="R10" s="511"/>
      <c r="S10" s="511"/>
      <c r="T10" s="511"/>
      <c r="U10" s="511"/>
      <c r="V10" s="576"/>
      <c r="Z10" s="447"/>
    </row>
    <row r="11" spans="1:29" ht="18.649999999999999" customHeight="1" thickBot="1">
      <c r="K11" s="461" t="s">
        <v>889</v>
      </c>
      <c r="L11" s="512"/>
      <c r="M11" s="512"/>
      <c r="N11" s="317"/>
      <c r="O11" s="382"/>
      <c r="P11" s="513" t="s">
        <v>880</v>
      </c>
      <c r="Q11" s="200"/>
      <c r="R11" s="514"/>
      <c r="S11" s="514"/>
      <c r="T11" s="514"/>
      <c r="U11" s="514"/>
      <c r="V11" s="577"/>
      <c r="Z11" s="447"/>
    </row>
    <row r="12" spans="1:29" ht="18.649999999999999" customHeight="1">
      <c r="P12" s="447"/>
      <c r="Q12" s="447"/>
      <c r="S12" s="447"/>
      <c r="T12" s="447"/>
      <c r="U12" s="447"/>
    </row>
    <row r="13" spans="1:29" ht="17.399999999999999" customHeight="1">
      <c r="N13" s="447"/>
      <c r="O13" s="447"/>
      <c r="P13" s="447"/>
    </row>
    <row r="14" spans="1:29">
      <c r="B14" s="50"/>
      <c r="N14" s="447"/>
      <c r="O14" s="447"/>
      <c r="P14" s="447"/>
    </row>
    <row r="15" spans="1:29">
      <c r="B15" s="467" t="str">
        <f>HYPERLINK("#B66", "【記入例：B41】ハイパーリンク")</f>
        <v>【記入例：B41】ハイパーリンク</v>
      </c>
      <c r="P15" s="50"/>
    </row>
    <row r="16" spans="1:29">
      <c r="B16" s="620" t="s">
        <v>20</v>
      </c>
      <c r="C16" s="103" t="s">
        <v>22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5"/>
      <c r="P16" s="103" t="s">
        <v>23</v>
      </c>
      <c r="Q16" s="104"/>
      <c r="R16" s="104"/>
      <c r="S16" s="104"/>
      <c r="T16" s="104"/>
      <c r="U16" s="104"/>
      <c r="V16" s="104"/>
      <c r="W16" s="104"/>
      <c r="X16" s="104"/>
      <c r="Y16" s="104"/>
      <c r="Z16" s="105"/>
      <c r="AA16" s="414" t="s">
        <v>31</v>
      </c>
      <c r="AB16" s="414"/>
      <c r="AC16" s="414"/>
    </row>
    <row r="17" spans="2:29" s="579" customFormat="1" ht="36">
      <c r="B17" s="611"/>
      <c r="C17" s="126" t="s">
        <v>963</v>
      </c>
      <c r="D17" s="126" t="s">
        <v>177</v>
      </c>
      <c r="E17" s="126" t="s">
        <v>938</v>
      </c>
      <c r="F17" s="126" t="s">
        <v>937</v>
      </c>
      <c r="G17" s="126" t="s">
        <v>178</v>
      </c>
      <c r="H17" s="126" t="s">
        <v>179</v>
      </c>
      <c r="I17" s="126" t="s">
        <v>180</v>
      </c>
      <c r="J17" s="117" t="s">
        <v>760</v>
      </c>
      <c r="K17" s="117" t="s">
        <v>39</v>
      </c>
      <c r="L17" s="578" t="s">
        <v>754</v>
      </c>
      <c r="M17" s="126" t="s">
        <v>35</v>
      </c>
      <c r="N17" s="126" t="s">
        <v>36</v>
      </c>
      <c r="O17" s="117" t="s">
        <v>1117</v>
      </c>
      <c r="P17" s="126" t="s">
        <v>892</v>
      </c>
      <c r="Q17" s="126" t="s">
        <v>177</v>
      </c>
      <c r="R17" s="126" t="s">
        <v>938</v>
      </c>
      <c r="S17" s="126" t="s">
        <v>937</v>
      </c>
      <c r="T17" s="126" t="s">
        <v>178</v>
      </c>
      <c r="U17" s="126" t="s">
        <v>179</v>
      </c>
      <c r="V17" s="126" t="s">
        <v>180</v>
      </c>
      <c r="W17" s="126" t="s">
        <v>756</v>
      </c>
      <c r="X17" s="126" t="s">
        <v>35</v>
      </c>
      <c r="Y17" s="126" t="s">
        <v>41</v>
      </c>
      <c r="Z17" s="117" t="s">
        <v>1117</v>
      </c>
      <c r="AA17" s="390" t="s">
        <v>42</v>
      </c>
      <c r="AB17" s="390" t="s">
        <v>43</v>
      </c>
      <c r="AC17" s="117" t="s">
        <v>1049</v>
      </c>
    </row>
    <row r="18" spans="2:29" ht="21.65" customHeight="1">
      <c r="B18" s="100" t="s">
        <v>21</v>
      </c>
      <c r="C18" s="193"/>
      <c r="D18" s="100" t="s">
        <v>181</v>
      </c>
      <c r="E18" s="193"/>
      <c r="F18" s="193"/>
      <c r="G18" s="402" t="s">
        <v>182</v>
      </c>
      <c r="H18" s="402" t="s">
        <v>182</v>
      </c>
      <c r="I18" s="402" t="s">
        <v>18</v>
      </c>
      <c r="J18" s="404" t="s">
        <v>867</v>
      </c>
      <c r="K18" s="404" t="s">
        <v>868</v>
      </c>
      <c r="L18" s="404" t="s">
        <v>173</v>
      </c>
      <c r="M18" s="402" t="s">
        <v>19</v>
      </c>
      <c r="N18" s="101" t="s">
        <v>8</v>
      </c>
      <c r="O18" s="402" t="s">
        <v>761</v>
      </c>
      <c r="P18" s="473"/>
      <c r="Q18" s="100" t="s">
        <v>181</v>
      </c>
      <c r="R18" s="193"/>
      <c r="S18" s="193"/>
      <c r="T18" s="402" t="s">
        <v>182</v>
      </c>
      <c r="U18" s="402" t="s">
        <v>182</v>
      </c>
      <c r="V18" s="402" t="s">
        <v>18</v>
      </c>
      <c r="W18" s="402" t="s">
        <v>48</v>
      </c>
      <c r="X18" s="402" t="s">
        <v>19</v>
      </c>
      <c r="Y18" s="101" t="s">
        <v>8</v>
      </c>
      <c r="Z18" s="402" t="s">
        <v>761</v>
      </c>
      <c r="AA18" s="402" t="s">
        <v>19</v>
      </c>
      <c r="AB18" s="101" t="s">
        <v>8</v>
      </c>
      <c r="AC18" s="402" t="s">
        <v>761</v>
      </c>
    </row>
    <row r="19" spans="2:29">
      <c r="B19" s="580" t="s">
        <v>16</v>
      </c>
      <c r="C19" s="476"/>
      <c r="D19" s="475">
        <f>SUM(D20:D39)</f>
        <v>0</v>
      </c>
      <c r="E19" s="474"/>
      <c r="F19" s="474"/>
      <c r="G19" s="548">
        <f>SUM(G20:G39)</f>
        <v>0</v>
      </c>
      <c r="H19" s="475">
        <f>SUM(H20:H39)</f>
        <v>0</v>
      </c>
      <c r="I19" s="377"/>
      <c r="J19" s="377"/>
      <c r="K19" s="377"/>
      <c r="L19" s="549">
        <f>SUM(L20:L39)</f>
        <v>0</v>
      </c>
      <c r="M19" s="378">
        <f>SUM(M20:M39)</f>
        <v>0</v>
      </c>
      <c r="N19" s="379">
        <f>SUM(N20:N39)</f>
        <v>0</v>
      </c>
      <c r="O19" s="357">
        <f>SUM(O20:O39)</f>
        <v>0</v>
      </c>
      <c r="P19" s="474"/>
      <c r="Q19" s="475">
        <f>SUM(Q20:Q39)</f>
        <v>0</v>
      </c>
      <c r="R19" s="474"/>
      <c r="S19" s="474"/>
      <c r="T19" s="548">
        <f>SUM(T20:T39)</f>
        <v>0</v>
      </c>
      <c r="U19" s="475">
        <f>SUM(U20:U39)</f>
        <v>0</v>
      </c>
      <c r="V19" s="377"/>
      <c r="W19" s="377"/>
      <c r="X19" s="378">
        <f t="shared" ref="X19:AC19" si="0">SUM(X20:X39)</f>
        <v>0</v>
      </c>
      <c r="Y19" s="379">
        <f t="shared" si="0"/>
        <v>0</v>
      </c>
      <c r="Z19" s="357">
        <f t="shared" si="0"/>
        <v>0</v>
      </c>
      <c r="AA19" s="355">
        <f t="shared" si="0"/>
        <v>0</v>
      </c>
      <c r="AB19" s="357">
        <f t="shared" si="0"/>
        <v>0</v>
      </c>
      <c r="AC19" s="357">
        <f t="shared" si="0"/>
        <v>0</v>
      </c>
    </row>
    <row r="20" spans="2:29" s="579" customFormat="1">
      <c r="B20" s="102" t="s">
        <v>49</v>
      </c>
      <c r="C20" s="230"/>
      <c r="D20" s="230"/>
      <c r="E20" s="230"/>
      <c r="F20" s="230"/>
      <c r="G20" s="231"/>
      <c r="H20" s="231"/>
      <c r="I20" s="232">
        <f>IF(D20&lt;=500,0.4,0.5)</f>
        <v>0.4</v>
      </c>
      <c r="J20" s="327"/>
      <c r="K20" s="327"/>
      <c r="L20" s="584">
        <f>J20*K20</f>
        <v>0</v>
      </c>
      <c r="M20" s="233">
        <f>(G20+H20*I20^2)*L20/1000</f>
        <v>0</v>
      </c>
      <c r="N20" s="63">
        <f>M20*係数!$H$30</f>
        <v>0</v>
      </c>
      <c r="O20" s="239">
        <f>M20*係数!$C$30*0.0000258</f>
        <v>0</v>
      </c>
      <c r="P20" s="230"/>
      <c r="Q20" s="230"/>
      <c r="R20" s="230"/>
      <c r="S20" s="230"/>
      <c r="T20" s="231"/>
      <c r="U20" s="231"/>
      <c r="V20" s="232" t="str">
        <f>IF(Q20="","",IF(Q20&lt;=500,0.4,0.5))</f>
        <v/>
      </c>
      <c r="W20" s="161">
        <f>IF(L20="","",L20)</f>
        <v>0</v>
      </c>
      <c r="X20" s="233">
        <f>IFERROR((T20+U20*V20^2)*W20/1000,0)</f>
        <v>0</v>
      </c>
      <c r="Y20" s="330">
        <f>X20*係数!$H$30</f>
        <v>0</v>
      </c>
      <c r="Z20" s="329">
        <f>X20*係数!$C$30*0.0000258</f>
        <v>0</v>
      </c>
      <c r="AA20" s="234">
        <f>M20-X20</f>
        <v>0</v>
      </c>
      <c r="AB20" s="239">
        <f>N20-Y20</f>
        <v>0</v>
      </c>
      <c r="AC20" s="239">
        <f>O20-Z20</f>
        <v>0</v>
      </c>
    </row>
    <row r="21" spans="2:29" s="579" customFormat="1">
      <c r="B21" s="102" t="s">
        <v>50</v>
      </c>
      <c r="C21" s="230"/>
      <c r="D21" s="230"/>
      <c r="E21" s="230"/>
      <c r="F21" s="230"/>
      <c r="G21" s="231"/>
      <c r="H21" s="231"/>
      <c r="I21" s="232">
        <f t="shared" ref="I21:I29" si="1">IF(D21&lt;=500,0.4,0.5)</f>
        <v>0.4</v>
      </c>
      <c r="J21" s="328"/>
      <c r="K21" s="328"/>
      <c r="L21" s="584">
        <f t="shared" ref="L21:L29" si="2">J21*K21</f>
        <v>0</v>
      </c>
      <c r="M21" s="233">
        <f t="shared" ref="M21:M39" si="3">(G21+H21*I21^2)*L21/1000</f>
        <v>0</v>
      </c>
      <c r="N21" s="63">
        <f>M21*係数!$H$30</f>
        <v>0</v>
      </c>
      <c r="O21" s="239">
        <f>M21*係数!$C$30*0.0000258</f>
        <v>0</v>
      </c>
      <c r="P21" s="230"/>
      <c r="Q21" s="230"/>
      <c r="R21" s="230"/>
      <c r="S21" s="230"/>
      <c r="T21" s="231"/>
      <c r="U21" s="231"/>
      <c r="V21" s="232" t="str">
        <f t="shared" ref="V21:V29" si="4">IF(Q21="","",IF(Q21&lt;=500,0.4,0.5))</f>
        <v/>
      </c>
      <c r="W21" s="161">
        <f t="shared" ref="W21:W39" si="5">IF(L21="","",L21)</f>
        <v>0</v>
      </c>
      <c r="X21" s="233">
        <f t="shared" ref="X21:X29" si="6">IFERROR((T21+U21*V21^2)*W21/1000,0)</f>
        <v>0</v>
      </c>
      <c r="Y21" s="330">
        <f>X21*係数!$H$30</f>
        <v>0</v>
      </c>
      <c r="Z21" s="329">
        <f>X21*係数!$C$30*0.0000258</f>
        <v>0</v>
      </c>
      <c r="AA21" s="234">
        <f t="shared" ref="AA21:AA29" si="7">M21-X21</f>
        <v>0</v>
      </c>
      <c r="AB21" s="239">
        <f t="shared" ref="AB21:AB29" si="8">N21-Y21</f>
        <v>0</v>
      </c>
      <c r="AC21" s="239">
        <f t="shared" ref="AC21:AC39" si="9">O21-Z21</f>
        <v>0</v>
      </c>
    </row>
    <row r="22" spans="2:29" s="579" customFormat="1">
      <c r="B22" s="102" t="s">
        <v>51</v>
      </c>
      <c r="C22" s="230"/>
      <c r="D22" s="230"/>
      <c r="E22" s="230"/>
      <c r="F22" s="230"/>
      <c r="G22" s="231"/>
      <c r="H22" s="231"/>
      <c r="I22" s="232">
        <f>IF(D22&lt;=500,0.4,0.5)</f>
        <v>0.4</v>
      </c>
      <c r="J22" s="328"/>
      <c r="K22" s="328"/>
      <c r="L22" s="584">
        <f t="shared" si="2"/>
        <v>0</v>
      </c>
      <c r="M22" s="18">
        <f t="shared" si="3"/>
        <v>0</v>
      </c>
      <c r="N22" s="18">
        <f>M22*係数!$H$30</f>
        <v>0</v>
      </c>
      <c r="O22" s="239">
        <f>M22*係数!$C$30*0.0000258</f>
        <v>0</v>
      </c>
      <c r="P22" s="230"/>
      <c r="Q22" s="230"/>
      <c r="R22" s="230"/>
      <c r="S22" s="230"/>
      <c r="T22" s="231"/>
      <c r="U22" s="231"/>
      <c r="V22" s="232" t="str">
        <f t="shared" si="4"/>
        <v/>
      </c>
      <c r="W22" s="161">
        <f t="shared" si="5"/>
        <v>0</v>
      </c>
      <c r="X22" s="18">
        <f t="shared" si="6"/>
        <v>0</v>
      </c>
      <c r="Y22" s="330">
        <f>X22*係数!$H$30</f>
        <v>0</v>
      </c>
      <c r="Z22" s="329">
        <f>X22*係数!$C$30*0.0000258</f>
        <v>0</v>
      </c>
      <c r="AA22" s="234">
        <f t="shared" si="7"/>
        <v>0</v>
      </c>
      <c r="AB22" s="239">
        <f t="shared" si="8"/>
        <v>0</v>
      </c>
      <c r="AC22" s="239">
        <f t="shared" si="9"/>
        <v>0</v>
      </c>
    </row>
    <row r="23" spans="2:29" s="579" customFormat="1">
      <c r="B23" s="102" t="s">
        <v>52</v>
      </c>
      <c r="C23" s="230"/>
      <c r="D23" s="230"/>
      <c r="E23" s="230"/>
      <c r="F23" s="230"/>
      <c r="G23" s="231"/>
      <c r="H23" s="231"/>
      <c r="I23" s="232">
        <f t="shared" si="1"/>
        <v>0.4</v>
      </c>
      <c r="J23" s="328"/>
      <c r="K23" s="328"/>
      <c r="L23" s="584">
        <f t="shared" si="2"/>
        <v>0</v>
      </c>
      <c r="M23" s="18">
        <f t="shared" si="3"/>
        <v>0</v>
      </c>
      <c r="N23" s="18">
        <f>M23*係数!$H$30</f>
        <v>0</v>
      </c>
      <c r="O23" s="239">
        <f>M23*係数!$C$30*0.0000258</f>
        <v>0</v>
      </c>
      <c r="P23" s="230"/>
      <c r="Q23" s="230"/>
      <c r="R23" s="230"/>
      <c r="S23" s="230"/>
      <c r="T23" s="231"/>
      <c r="U23" s="231"/>
      <c r="V23" s="232" t="str">
        <f t="shared" si="4"/>
        <v/>
      </c>
      <c r="W23" s="161">
        <f t="shared" si="5"/>
        <v>0</v>
      </c>
      <c r="X23" s="18">
        <f t="shared" si="6"/>
        <v>0</v>
      </c>
      <c r="Y23" s="330">
        <f>X23*係数!$H$30</f>
        <v>0</v>
      </c>
      <c r="Z23" s="329">
        <f>X23*係数!$C$30*0.0000258</f>
        <v>0</v>
      </c>
      <c r="AA23" s="234">
        <f t="shared" si="7"/>
        <v>0</v>
      </c>
      <c r="AB23" s="239">
        <f t="shared" si="8"/>
        <v>0</v>
      </c>
      <c r="AC23" s="239">
        <f t="shared" si="9"/>
        <v>0</v>
      </c>
    </row>
    <row r="24" spans="2:29" s="579" customFormat="1">
      <c r="B24" s="102" t="s">
        <v>53</v>
      </c>
      <c r="C24" s="230"/>
      <c r="D24" s="230"/>
      <c r="E24" s="230"/>
      <c r="F24" s="230"/>
      <c r="G24" s="231"/>
      <c r="H24" s="231"/>
      <c r="I24" s="232">
        <f t="shared" si="1"/>
        <v>0.4</v>
      </c>
      <c r="J24" s="328"/>
      <c r="K24" s="328"/>
      <c r="L24" s="584">
        <f t="shared" si="2"/>
        <v>0</v>
      </c>
      <c r="M24" s="18">
        <f t="shared" si="3"/>
        <v>0</v>
      </c>
      <c r="N24" s="18">
        <f>M24*係数!$H$30</f>
        <v>0</v>
      </c>
      <c r="O24" s="239">
        <f>M24*係数!$C$30*0.0000258</f>
        <v>0</v>
      </c>
      <c r="P24" s="230"/>
      <c r="Q24" s="230"/>
      <c r="R24" s="230"/>
      <c r="S24" s="230"/>
      <c r="T24" s="231"/>
      <c r="U24" s="231"/>
      <c r="V24" s="232" t="str">
        <f t="shared" si="4"/>
        <v/>
      </c>
      <c r="W24" s="161">
        <f t="shared" si="5"/>
        <v>0</v>
      </c>
      <c r="X24" s="18">
        <f t="shared" si="6"/>
        <v>0</v>
      </c>
      <c r="Y24" s="330">
        <f>X24*係数!$H$30</f>
        <v>0</v>
      </c>
      <c r="Z24" s="329">
        <f>X24*係数!$C$30*0.0000258</f>
        <v>0</v>
      </c>
      <c r="AA24" s="234">
        <f t="shared" si="7"/>
        <v>0</v>
      </c>
      <c r="AB24" s="239">
        <f t="shared" si="8"/>
        <v>0</v>
      </c>
      <c r="AC24" s="239">
        <f t="shared" si="9"/>
        <v>0</v>
      </c>
    </row>
    <row r="25" spans="2:29" s="579" customFormat="1">
      <c r="B25" s="102" t="s">
        <v>54</v>
      </c>
      <c r="C25" s="230"/>
      <c r="D25" s="230"/>
      <c r="E25" s="230"/>
      <c r="F25" s="230"/>
      <c r="G25" s="231"/>
      <c r="H25" s="231"/>
      <c r="I25" s="232">
        <f t="shared" si="1"/>
        <v>0.4</v>
      </c>
      <c r="J25" s="328"/>
      <c r="K25" s="328"/>
      <c r="L25" s="584">
        <f t="shared" si="2"/>
        <v>0</v>
      </c>
      <c r="M25" s="18">
        <f t="shared" si="3"/>
        <v>0</v>
      </c>
      <c r="N25" s="18">
        <f>M25*係数!$H$30</f>
        <v>0</v>
      </c>
      <c r="O25" s="239">
        <f>M25*係数!$C$30*0.0000258</f>
        <v>0</v>
      </c>
      <c r="P25" s="230"/>
      <c r="Q25" s="230"/>
      <c r="R25" s="230"/>
      <c r="S25" s="230"/>
      <c r="T25" s="231"/>
      <c r="U25" s="231"/>
      <c r="V25" s="232" t="str">
        <f t="shared" si="4"/>
        <v/>
      </c>
      <c r="W25" s="161">
        <f t="shared" si="5"/>
        <v>0</v>
      </c>
      <c r="X25" s="18">
        <f t="shared" si="6"/>
        <v>0</v>
      </c>
      <c r="Y25" s="330">
        <f>X25*係数!$H$30</f>
        <v>0</v>
      </c>
      <c r="Z25" s="329">
        <f>X25*係数!$C$30*0.0000258</f>
        <v>0</v>
      </c>
      <c r="AA25" s="234">
        <f t="shared" si="7"/>
        <v>0</v>
      </c>
      <c r="AB25" s="239">
        <f t="shared" si="8"/>
        <v>0</v>
      </c>
      <c r="AC25" s="239">
        <f t="shared" si="9"/>
        <v>0</v>
      </c>
    </row>
    <row r="26" spans="2:29" s="579" customFormat="1">
      <c r="B26" s="102" t="s">
        <v>55</v>
      </c>
      <c r="C26" s="230"/>
      <c r="D26" s="230"/>
      <c r="E26" s="230"/>
      <c r="F26" s="230"/>
      <c r="G26" s="231"/>
      <c r="H26" s="231"/>
      <c r="I26" s="232">
        <f t="shared" si="1"/>
        <v>0.4</v>
      </c>
      <c r="J26" s="328"/>
      <c r="K26" s="328"/>
      <c r="L26" s="584">
        <f t="shared" si="2"/>
        <v>0</v>
      </c>
      <c r="M26" s="18">
        <f t="shared" si="3"/>
        <v>0</v>
      </c>
      <c r="N26" s="18">
        <f>M26*係数!$H$30</f>
        <v>0</v>
      </c>
      <c r="O26" s="239">
        <f>M26*係数!$C$30*0.0000258</f>
        <v>0</v>
      </c>
      <c r="P26" s="230"/>
      <c r="Q26" s="230"/>
      <c r="R26" s="230"/>
      <c r="S26" s="230"/>
      <c r="T26" s="231"/>
      <c r="U26" s="231"/>
      <c r="V26" s="232" t="str">
        <f t="shared" si="4"/>
        <v/>
      </c>
      <c r="W26" s="161">
        <f t="shared" si="5"/>
        <v>0</v>
      </c>
      <c r="X26" s="18">
        <f t="shared" si="6"/>
        <v>0</v>
      </c>
      <c r="Y26" s="330">
        <f>X26*係数!$H$30</f>
        <v>0</v>
      </c>
      <c r="Z26" s="329">
        <f>X26*係数!$C$30*0.0000258</f>
        <v>0</v>
      </c>
      <c r="AA26" s="234">
        <f t="shared" si="7"/>
        <v>0</v>
      </c>
      <c r="AB26" s="239">
        <f t="shared" si="8"/>
        <v>0</v>
      </c>
      <c r="AC26" s="239">
        <f t="shared" si="9"/>
        <v>0</v>
      </c>
    </row>
    <row r="27" spans="2:29" s="579" customFormat="1">
      <c r="B27" s="102" t="s">
        <v>56</v>
      </c>
      <c r="C27" s="230"/>
      <c r="D27" s="230"/>
      <c r="E27" s="230"/>
      <c r="F27" s="230"/>
      <c r="G27" s="231"/>
      <c r="H27" s="231"/>
      <c r="I27" s="232">
        <f t="shared" si="1"/>
        <v>0.4</v>
      </c>
      <c r="J27" s="328"/>
      <c r="K27" s="328"/>
      <c r="L27" s="584">
        <f t="shared" si="2"/>
        <v>0</v>
      </c>
      <c r="M27" s="18">
        <f t="shared" si="3"/>
        <v>0</v>
      </c>
      <c r="N27" s="18">
        <f>M27*係数!$H$30</f>
        <v>0</v>
      </c>
      <c r="O27" s="239">
        <f>M27*係数!$C$30*0.0000258</f>
        <v>0</v>
      </c>
      <c r="P27" s="230"/>
      <c r="Q27" s="230"/>
      <c r="R27" s="230"/>
      <c r="S27" s="230"/>
      <c r="T27" s="231"/>
      <c r="U27" s="231"/>
      <c r="V27" s="232" t="str">
        <f t="shared" si="4"/>
        <v/>
      </c>
      <c r="W27" s="161">
        <f t="shared" si="5"/>
        <v>0</v>
      </c>
      <c r="X27" s="18">
        <f t="shared" si="6"/>
        <v>0</v>
      </c>
      <c r="Y27" s="330">
        <f>X27*係数!$H$30</f>
        <v>0</v>
      </c>
      <c r="Z27" s="329">
        <f>X27*係数!$C$30*0.0000258</f>
        <v>0</v>
      </c>
      <c r="AA27" s="234">
        <f t="shared" si="7"/>
        <v>0</v>
      </c>
      <c r="AB27" s="239">
        <f t="shared" si="8"/>
        <v>0</v>
      </c>
      <c r="AC27" s="239">
        <f t="shared" si="9"/>
        <v>0</v>
      </c>
    </row>
    <row r="28" spans="2:29" s="579" customFormat="1">
      <c r="B28" s="102" t="s">
        <v>57</v>
      </c>
      <c r="C28" s="230"/>
      <c r="D28" s="230"/>
      <c r="E28" s="230"/>
      <c r="F28" s="230"/>
      <c r="G28" s="231"/>
      <c r="H28" s="231"/>
      <c r="I28" s="232">
        <f t="shared" si="1"/>
        <v>0.4</v>
      </c>
      <c r="J28" s="328"/>
      <c r="K28" s="328"/>
      <c r="L28" s="584">
        <f t="shared" si="2"/>
        <v>0</v>
      </c>
      <c r="M28" s="18">
        <f t="shared" si="3"/>
        <v>0</v>
      </c>
      <c r="N28" s="18">
        <f>M28*係数!$H$30</f>
        <v>0</v>
      </c>
      <c r="O28" s="239">
        <f>M28*係数!$C$30*0.0000258</f>
        <v>0</v>
      </c>
      <c r="P28" s="230"/>
      <c r="Q28" s="230"/>
      <c r="R28" s="230"/>
      <c r="S28" s="230"/>
      <c r="T28" s="231"/>
      <c r="U28" s="231"/>
      <c r="V28" s="232" t="str">
        <f t="shared" si="4"/>
        <v/>
      </c>
      <c r="W28" s="161">
        <f t="shared" si="5"/>
        <v>0</v>
      </c>
      <c r="X28" s="18">
        <f t="shared" si="6"/>
        <v>0</v>
      </c>
      <c r="Y28" s="330">
        <f>X28*係数!$H$30</f>
        <v>0</v>
      </c>
      <c r="Z28" s="329">
        <f>X28*係数!$C$30*0.0000258</f>
        <v>0</v>
      </c>
      <c r="AA28" s="234">
        <f t="shared" si="7"/>
        <v>0</v>
      </c>
      <c r="AB28" s="239">
        <f t="shared" si="8"/>
        <v>0</v>
      </c>
      <c r="AC28" s="239">
        <f t="shared" si="9"/>
        <v>0</v>
      </c>
    </row>
    <row r="29" spans="2:29" s="579" customFormat="1">
      <c r="B29" s="102" t="s">
        <v>58</v>
      </c>
      <c r="C29" s="230"/>
      <c r="D29" s="230"/>
      <c r="E29" s="230"/>
      <c r="F29" s="230"/>
      <c r="G29" s="231"/>
      <c r="H29" s="231"/>
      <c r="I29" s="232">
        <f t="shared" si="1"/>
        <v>0.4</v>
      </c>
      <c r="J29" s="328"/>
      <c r="K29" s="328"/>
      <c r="L29" s="584">
        <f t="shared" si="2"/>
        <v>0</v>
      </c>
      <c r="M29" s="18">
        <f t="shared" si="3"/>
        <v>0</v>
      </c>
      <c r="N29" s="18">
        <f>M29*係数!$H$30</f>
        <v>0</v>
      </c>
      <c r="O29" s="239">
        <f>M29*係数!$C$30*0.0000258</f>
        <v>0</v>
      </c>
      <c r="P29" s="230"/>
      <c r="Q29" s="230"/>
      <c r="R29" s="230"/>
      <c r="S29" s="230"/>
      <c r="T29" s="231"/>
      <c r="U29" s="231"/>
      <c r="V29" s="232" t="str">
        <f t="shared" si="4"/>
        <v/>
      </c>
      <c r="W29" s="161">
        <f t="shared" si="5"/>
        <v>0</v>
      </c>
      <c r="X29" s="18">
        <f t="shared" si="6"/>
        <v>0</v>
      </c>
      <c r="Y29" s="330">
        <f>X29*係数!$H$30</f>
        <v>0</v>
      </c>
      <c r="Z29" s="329">
        <f>X29*係数!$C$30*0.0000258</f>
        <v>0</v>
      </c>
      <c r="AA29" s="234">
        <f t="shared" si="7"/>
        <v>0</v>
      </c>
      <c r="AB29" s="239">
        <f t="shared" si="8"/>
        <v>0</v>
      </c>
      <c r="AC29" s="239">
        <f t="shared" si="9"/>
        <v>0</v>
      </c>
    </row>
    <row r="30" spans="2:29" s="579" customFormat="1">
      <c r="B30" s="102" t="s">
        <v>59</v>
      </c>
      <c r="C30" s="230"/>
      <c r="D30" s="230"/>
      <c r="E30" s="230"/>
      <c r="F30" s="230"/>
      <c r="G30" s="231"/>
      <c r="H30" s="231"/>
      <c r="I30" s="232">
        <f t="shared" ref="I30:I39" si="10">IF(D30&lt;=500,0.4,0.5)</f>
        <v>0.4</v>
      </c>
      <c r="J30" s="328"/>
      <c r="K30" s="328"/>
      <c r="L30" s="584">
        <f t="shared" ref="L30:L39" si="11">J30*K30</f>
        <v>0</v>
      </c>
      <c r="M30" s="18">
        <f t="shared" si="3"/>
        <v>0</v>
      </c>
      <c r="N30" s="18">
        <f>M30*係数!$H$30</f>
        <v>0</v>
      </c>
      <c r="O30" s="239">
        <f>M30*係数!$C$30*0.0000258</f>
        <v>0</v>
      </c>
      <c r="P30" s="230"/>
      <c r="Q30" s="230"/>
      <c r="R30" s="230"/>
      <c r="S30" s="230"/>
      <c r="T30" s="231"/>
      <c r="U30" s="231"/>
      <c r="V30" s="232" t="str">
        <f t="shared" ref="V30:V39" si="12">IF(Q30="","",IF(Q30&lt;=500,0.4,0.5))</f>
        <v/>
      </c>
      <c r="W30" s="161">
        <f t="shared" si="5"/>
        <v>0</v>
      </c>
      <c r="X30" s="18">
        <f t="shared" ref="X30:X39" si="13">IFERROR((T30+U30*V30^2)*W30/1000,0)</f>
        <v>0</v>
      </c>
      <c r="Y30" s="330">
        <f>X30*係数!$H$30</f>
        <v>0</v>
      </c>
      <c r="Z30" s="329">
        <f>X30*係数!$C$30*0.0000258</f>
        <v>0</v>
      </c>
      <c r="AA30" s="234">
        <f t="shared" ref="AA30:AA39" si="14">M30-X30</f>
        <v>0</v>
      </c>
      <c r="AB30" s="239">
        <f t="shared" ref="AB30:AB39" si="15">N30-Y30</f>
        <v>0</v>
      </c>
      <c r="AC30" s="239">
        <f t="shared" si="9"/>
        <v>0</v>
      </c>
    </row>
    <row r="31" spans="2:29" s="579" customFormat="1">
      <c r="B31" s="102" t="s">
        <v>60</v>
      </c>
      <c r="C31" s="230"/>
      <c r="D31" s="230"/>
      <c r="E31" s="230"/>
      <c r="F31" s="230"/>
      <c r="G31" s="231"/>
      <c r="H31" s="231"/>
      <c r="I31" s="232">
        <f t="shared" si="10"/>
        <v>0.4</v>
      </c>
      <c r="J31" s="328"/>
      <c r="K31" s="328"/>
      <c r="L31" s="584">
        <f t="shared" si="11"/>
        <v>0</v>
      </c>
      <c r="M31" s="18">
        <f t="shared" si="3"/>
        <v>0</v>
      </c>
      <c r="N31" s="18">
        <f>M31*係数!$H$30</f>
        <v>0</v>
      </c>
      <c r="O31" s="239">
        <f>M31*係数!$C$30*0.0000258</f>
        <v>0</v>
      </c>
      <c r="P31" s="230"/>
      <c r="Q31" s="230"/>
      <c r="R31" s="230"/>
      <c r="S31" s="230"/>
      <c r="T31" s="231"/>
      <c r="U31" s="231"/>
      <c r="V31" s="232" t="str">
        <f t="shared" si="12"/>
        <v/>
      </c>
      <c r="W31" s="161">
        <f t="shared" si="5"/>
        <v>0</v>
      </c>
      <c r="X31" s="18">
        <f t="shared" si="13"/>
        <v>0</v>
      </c>
      <c r="Y31" s="330">
        <f>X31*係数!$H$30</f>
        <v>0</v>
      </c>
      <c r="Z31" s="329">
        <f>X31*係数!$C$30*0.0000258</f>
        <v>0</v>
      </c>
      <c r="AA31" s="234">
        <f t="shared" si="14"/>
        <v>0</v>
      </c>
      <c r="AB31" s="239">
        <f t="shared" si="15"/>
        <v>0</v>
      </c>
      <c r="AC31" s="239">
        <f t="shared" si="9"/>
        <v>0</v>
      </c>
    </row>
    <row r="32" spans="2:29" s="579" customFormat="1">
      <c r="B32" s="102" t="s">
        <v>61</v>
      </c>
      <c r="C32" s="230"/>
      <c r="D32" s="230"/>
      <c r="E32" s="230"/>
      <c r="F32" s="230"/>
      <c r="G32" s="231"/>
      <c r="H32" s="231"/>
      <c r="I32" s="232">
        <f t="shared" si="10"/>
        <v>0.4</v>
      </c>
      <c r="J32" s="328"/>
      <c r="K32" s="328"/>
      <c r="L32" s="584">
        <f t="shared" si="11"/>
        <v>0</v>
      </c>
      <c r="M32" s="18">
        <f t="shared" si="3"/>
        <v>0</v>
      </c>
      <c r="N32" s="18">
        <f>M32*係数!$H$30</f>
        <v>0</v>
      </c>
      <c r="O32" s="239">
        <f>M32*係数!$C$30*0.0000258</f>
        <v>0</v>
      </c>
      <c r="P32" s="230"/>
      <c r="Q32" s="230"/>
      <c r="R32" s="230"/>
      <c r="S32" s="230"/>
      <c r="T32" s="231"/>
      <c r="U32" s="231"/>
      <c r="V32" s="232" t="str">
        <f t="shared" si="12"/>
        <v/>
      </c>
      <c r="W32" s="161">
        <f t="shared" si="5"/>
        <v>0</v>
      </c>
      <c r="X32" s="18">
        <f t="shared" si="13"/>
        <v>0</v>
      </c>
      <c r="Y32" s="330">
        <f>X32*係数!$H$30</f>
        <v>0</v>
      </c>
      <c r="Z32" s="329">
        <f>X32*係数!$C$30*0.0000258</f>
        <v>0</v>
      </c>
      <c r="AA32" s="234">
        <f t="shared" si="14"/>
        <v>0</v>
      </c>
      <c r="AB32" s="239">
        <f t="shared" si="15"/>
        <v>0</v>
      </c>
      <c r="AC32" s="239">
        <f t="shared" si="9"/>
        <v>0</v>
      </c>
    </row>
    <row r="33" spans="1:29" s="579" customFormat="1">
      <c r="B33" s="102" t="s">
        <v>62</v>
      </c>
      <c r="C33" s="230"/>
      <c r="D33" s="230"/>
      <c r="E33" s="230"/>
      <c r="F33" s="230"/>
      <c r="G33" s="231"/>
      <c r="H33" s="231"/>
      <c r="I33" s="232">
        <f t="shared" si="10"/>
        <v>0.4</v>
      </c>
      <c r="J33" s="328"/>
      <c r="K33" s="328"/>
      <c r="L33" s="584">
        <f t="shared" si="11"/>
        <v>0</v>
      </c>
      <c r="M33" s="18">
        <f t="shared" si="3"/>
        <v>0</v>
      </c>
      <c r="N33" s="18">
        <f>M33*係数!$H$30</f>
        <v>0</v>
      </c>
      <c r="O33" s="239">
        <f>M33*係数!$C$30*0.0000258</f>
        <v>0</v>
      </c>
      <c r="P33" s="230"/>
      <c r="Q33" s="230"/>
      <c r="R33" s="230"/>
      <c r="S33" s="230"/>
      <c r="T33" s="231"/>
      <c r="U33" s="231"/>
      <c r="V33" s="232" t="str">
        <f t="shared" si="12"/>
        <v/>
      </c>
      <c r="W33" s="161">
        <f t="shared" si="5"/>
        <v>0</v>
      </c>
      <c r="X33" s="18">
        <f t="shared" si="13"/>
        <v>0</v>
      </c>
      <c r="Y33" s="330">
        <f>X33*係数!$H$30</f>
        <v>0</v>
      </c>
      <c r="Z33" s="329">
        <f>X33*係数!$C$30*0.0000258</f>
        <v>0</v>
      </c>
      <c r="AA33" s="234">
        <f t="shared" si="14"/>
        <v>0</v>
      </c>
      <c r="AB33" s="239">
        <f t="shared" si="15"/>
        <v>0</v>
      </c>
      <c r="AC33" s="239">
        <f t="shared" si="9"/>
        <v>0</v>
      </c>
    </row>
    <row r="34" spans="1:29" s="579" customFormat="1">
      <c r="B34" s="102" t="s">
        <v>63</v>
      </c>
      <c r="C34" s="230"/>
      <c r="D34" s="230"/>
      <c r="E34" s="230"/>
      <c r="F34" s="230"/>
      <c r="G34" s="231"/>
      <c r="H34" s="231"/>
      <c r="I34" s="232">
        <f t="shared" si="10"/>
        <v>0.4</v>
      </c>
      <c r="J34" s="328"/>
      <c r="K34" s="328"/>
      <c r="L34" s="584">
        <f t="shared" si="11"/>
        <v>0</v>
      </c>
      <c r="M34" s="18">
        <f t="shared" si="3"/>
        <v>0</v>
      </c>
      <c r="N34" s="18">
        <f>M34*係数!$H$30</f>
        <v>0</v>
      </c>
      <c r="O34" s="239">
        <f>M34*係数!$C$30*0.0000258</f>
        <v>0</v>
      </c>
      <c r="P34" s="230"/>
      <c r="Q34" s="230"/>
      <c r="R34" s="230"/>
      <c r="S34" s="230"/>
      <c r="T34" s="231"/>
      <c r="U34" s="231"/>
      <c r="V34" s="232" t="str">
        <f t="shared" si="12"/>
        <v/>
      </c>
      <c r="W34" s="161">
        <f t="shared" si="5"/>
        <v>0</v>
      </c>
      <c r="X34" s="18">
        <f t="shared" si="13"/>
        <v>0</v>
      </c>
      <c r="Y34" s="330">
        <f>X34*係数!$H$30</f>
        <v>0</v>
      </c>
      <c r="Z34" s="329">
        <f>X34*係数!$C$30*0.0000258</f>
        <v>0</v>
      </c>
      <c r="AA34" s="234">
        <f t="shared" si="14"/>
        <v>0</v>
      </c>
      <c r="AB34" s="239">
        <f t="shared" si="15"/>
        <v>0</v>
      </c>
      <c r="AC34" s="239">
        <f t="shared" si="9"/>
        <v>0</v>
      </c>
    </row>
    <row r="35" spans="1:29" s="579" customFormat="1">
      <c r="B35" s="102" t="s">
        <v>64</v>
      </c>
      <c r="C35" s="230"/>
      <c r="D35" s="230"/>
      <c r="E35" s="230"/>
      <c r="F35" s="230"/>
      <c r="G35" s="231"/>
      <c r="H35" s="231"/>
      <c r="I35" s="232">
        <f t="shared" si="10"/>
        <v>0.4</v>
      </c>
      <c r="J35" s="328"/>
      <c r="K35" s="328"/>
      <c r="L35" s="584">
        <f t="shared" si="11"/>
        <v>0</v>
      </c>
      <c r="M35" s="18">
        <f t="shared" si="3"/>
        <v>0</v>
      </c>
      <c r="N35" s="18">
        <f>M35*係数!$H$30</f>
        <v>0</v>
      </c>
      <c r="O35" s="239">
        <f>M35*係数!$C$30*0.0000258</f>
        <v>0</v>
      </c>
      <c r="P35" s="230"/>
      <c r="Q35" s="230"/>
      <c r="R35" s="230"/>
      <c r="S35" s="230"/>
      <c r="T35" s="231"/>
      <c r="U35" s="231"/>
      <c r="V35" s="232" t="str">
        <f t="shared" si="12"/>
        <v/>
      </c>
      <c r="W35" s="161">
        <f t="shared" si="5"/>
        <v>0</v>
      </c>
      <c r="X35" s="18">
        <f t="shared" si="13"/>
        <v>0</v>
      </c>
      <c r="Y35" s="330">
        <f>X35*係数!$H$30</f>
        <v>0</v>
      </c>
      <c r="Z35" s="329">
        <f>X35*係数!$C$30*0.0000258</f>
        <v>0</v>
      </c>
      <c r="AA35" s="234">
        <f t="shared" si="14"/>
        <v>0</v>
      </c>
      <c r="AB35" s="239">
        <f t="shared" si="15"/>
        <v>0</v>
      </c>
      <c r="AC35" s="239">
        <f t="shared" si="9"/>
        <v>0</v>
      </c>
    </row>
    <row r="36" spans="1:29" s="579" customFormat="1">
      <c r="B36" s="102" t="s">
        <v>65</v>
      </c>
      <c r="C36" s="230"/>
      <c r="D36" s="230"/>
      <c r="E36" s="230"/>
      <c r="F36" s="230"/>
      <c r="G36" s="231"/>
      <c r="H36" s="231"/>
      <c r="I36" s="232">
        <f t="shared" si="10"/>
        <v>0.4</v>
      </c>
      <c r="J36" s="328"/>
      <c r="K36" s="328"/>
      <c r="L36" s="584">
        <f t="shared" si="11"/>
        <v>0</v>
      </c>
      <c r="M36" s="18">
        <f t="shared" si="3"/>
        <v>0</v>
      </c>
      <c r="N36" s="18">
        <f>M36*係数!$H$30</f>
        <v>0</v>
      </c>
      <c r="O36" s="239">
        <f>M36*係数!$C$30*0.0000258</f>
        <v>0</v>
      </c>
      <c r="P36" s="230"/>
      <c r="Q36" s="230"/>
      <c r="R36" s="230"/>
      <c r="S36" s="230"/>
      <c r="T36" s="231"/>
      <c r="U36" s="231"/>
      <c r="V36" s="232" t="str">
        <f t="shared" si="12"/>
        <v/>
      </c>
      <c r="W36" s="161">
        <f t="shared" si="5"/>
        <v>0</v>
      </c>
      <c r="X36" s="18">
        <f t="shared" si="13"/>
        <v>0</v>
      </c>
      <c r="Y36" s="330">
        <f>X36*係数!$H$30</f>
        <v>0</v>
      </c>
      <c r="Z36" s="329">
        <f>X36*係数!$C$30*0.0000258</f>
        <v>0</v>
      </c>
      <c r="AA36" s="234">
        <f t="shared" si="14"/>
        <v>0</v>
      </c>
      <c r="AB36" s="239">
        <f t="shared" si="15"/>
        <v>0</v>
      </c>
      <c r="AC36" s="239">
        <f t="shared" si="9"/>
        <v>0</v>
      </c>
    </row>
    <row r="37" spans="1:29" s="579" customFormat="1">
      <c r="B37" s="102" t="s">
        <v>66</v>
      </c>
      <c r="C37" s="230"/>
      <c r="D37" s="230"/>
      <c r="E37" s="230"/>
      <c r="F37" s="230"/>
      <c r="G37" s="231"/>
      <c r="H37" s="231"/>
      <c r="I37" s="232">
        <f t="shared" si="10"/>
        <v>0.4</v>
      </c>
      <c r="J37" s="328"/>
      <c r="K37" s="328"/>
      <c r="L37" s="584">
        <f t="shared" si="11"/>
        <v>0</v>
      </c>
      <c r="M37" s="18">
        <f t="shared" si="3"/>
        <v>0</v>
      </c>
      <c r="N37" s="18">
        <f>M37*係数!$H$30</f>
        <v>0</v>
      </c>
      <c r="O37" s="239">
        <f>M37*係数!$C$30*0.0000258</f>
        <v>0</v>
      </c>
      <c r="P37" s="230"/>
      <c r="Q37" s="230"/>
      <c r="R37" s="230"/>
      <c r="S37" s="230"/>
      <c r="T37" s="231"/>
      <c r="U37" s="231"/>
      <c r="V37" s="232" t="str">
        <f t="shared" si="12"/>
        <v/>
      </c>
      <c r="W37" s="161">
        <f t="shared" si="5"/>
        <v>0</v>
      </c>
      <c r="X37" s="18">
        <f t="shared" si="13"/>
        <v>0</v>
      </c>
      <c r="Y37" s="330">
        <f>X37*係数!$H$30</f>
        <v>0</v>
      </c>
      <c r="Z37" s="329">
        <f>X37*係数!$C$30*0.0000258</f>
        <v>0</v>
      </c>
      <c r="AA37" s="234">
        <f t="shared" si="14"/>
        <v>0</v>
      </c>
      <c r="AB37" s="239">
        <f t="shared" si="15"/>
        <v>0</v>
      </c>
      <c r="AC37" s="239">
        <f t="shared" si="9"/>
        <v>0</v>
      </c>
    </row>
    <row r="38" spans="1:29" s="579" customFormat="1">
      <c r="B38" s="102" t="s">
        <v>67</v>
      </c>
      <c r="C38" s="230"/>
      <c r="D38" s="230"/>
      <c r="E38" s="230"/>
      <c r="F38" s="230"/>
      <c r="G38" s="231"/>
      <c r="H38" s="231"/>
      <c r="I38" s="232">
        <f t="shared" si="10"/>
        <v>0.4</v>
      </c>
      <c r="J38" s="328"/>
      <c r="K38" s="328"/>
      <c r="L38" s="584">
        <f t="shared" si="11"/>
        <v>0</v>
      </c>
      <c r="M38" s="18">
        <f t="shared" si="3"/>
        <v>0</v>
      </c>
      <c r="N38" s="18">
        <f>M38*係数!$H$30</f>
        <v>0</v>
      </c>
      <c r="O38" s="239">
        <f>M38*係数!$C$30*0.0000258</f>
        <v>0</v>
      </c>
      <c r="P38" s="230"/>
      <c r="Q38" s="230"/>
      <c r="R38" s="230"/>
      <c r="S38" s="230"/>
      <c r="T38" s="231"/>
      <c r="U38" s="231"/>
      <c r="V38" s="232" t="str">
        <f t="shared" si="12"/>
        <v/>
      </c>
      <c r="W38" s="161">
        <f t="shared" si="5"/>
        <v>0</v>
      </c>
      <c r="X38" s="18">
        <f t="shared" si="13"/>
        <v>0</v>
      </c>
      <c r="Y38" s="330">
        <f>X38*係数!$H$30</f>
        <v>0</v>
      </c>
      <c r="Z38" s="329">
        <f>X38*係数!$C$30*0.0000258</f>
        <v>0</v>
      </c>
      <c r="AA38" s="234">
        <f t="shared" si="14"/>
        <v>0</v>
      </c>
      <c r="AB38" s="239">
        <f t="shared" si="15"/>
        <v>0</v>
      </c>
      <c r="AC38" s="239">
        <f t="shared" si="9"/>
        <v>0</v>
      </c>
    </row>
    <row r="39" spans="1:29" s="579" customFormat="1">
      <c r="B39" s="102" t="s">
        <v>68</v>
      </c>
      <c r="C39" s="230"/>
      <c r="D39" s="230"/>
      <c r="E39" s="230"/>
      <c r="F39" s="230"/>
      <c r="G39" s="231"/>
      <c r="H39" s="231"/>
      <c r="I39" s="232">
        <f t="shared" si="10"/>
        <v>0.4</v>
      </c>
      <c r="J39" s="328"/>
      <c r="K39" s="328"/>
      <c r="L39" s="584">
        <f t="shared" si="11"/>
        <v>0</v>
      </c>
      <c r="M39" s="18">
        <f t="shared" si="3"/>
        <v>0</v>
      </c>
      <c r="N39" s="18">
        <f>M39*係数!$H$30</f>
        <v>0</v>
      </c>
      <c r="O39" s="239">
        <f>M39*係数!$C$30*0.0000258</f>
        <v>0</v>
      </c>
      <c r="P39" s="230"/>
      <c r="Q39" s="230"/>
      <c r="R39" s="230"/>
      <c r="S39" s="230"/>
      <c r="T39" s="231"/>
      <c r="U39" s="231"/>
      <c r="V39" s="232" t="str">
        <f t="shared" si="12"/>
        <v/>
      </c>
      <c r="W39" s="161">
        <f t="shared" si="5"/>
        <v>0</v>
      </c>
      <c r="X39" s="18">
        <f t="shared" si="13"/>
        <v>0</v>
      </c>
      <c r="Y39" s="330">
        <f>X39*係数!$H$30</f>
        <v>0</v>
      </c>
      <c r="Z39" s="329">
        <f>X39*係数!$C$30*0.0000258</f>
        <v>0</v>
      </c>
      <c r="AA39" s="234">
        <f t="shared" si="14"/>
        <v>0</v>
      </c>
      <c r="AB39" s="239">
        <f t="shared" si="15"/>
        <v>0</v>
      </c>
      <c r="AC39" s="239">
        <f t="shared" si="9"/>
        <v>0</v>
      </c>
    </row>
    <row r="41" spans="1:29" ht="29">
      <c r="A41" s="13" t="s">
        <v>1033</v>
      </c>
    </row>
    <row r="45" spans="1:29">
      <c r="B45" s="500" t="str">
        <f>HYPERLINK("#B1", "【シートトップ】ハイパーリンク")</f>
        <v>【シートトップ】ハイパーリンク</v>
      </c>
    </row>
    <row r="46" spans="1:29">
      <c r="B46" s="620" t="s">
        <v>20</v>
      </c>
      <c r="C46" s="103" t="s">
        <v>22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5"/>
      <c r="P46" s="103" t="s">
        <v>23</v>
      </c>
      <c r="Q46" s="104"/>
      <c r="R46" s="104"/>
      <c r="S46" s="104"/>
      <c r="T46" s="104"/>
      <c r="U46" s="104"/>
      <c r="V46" s="104"/>
      <c r="W46" s="104"/>
      <c r="X46" s="104"/>
      <c r="Y46" s="104"/>
      <c r="Z46" s="105"/>
      <c r="AA46" s="414" t="s">
        <v>31</v>
      </c>
      <c r="AB46" s="414"/>
      <c r="AC46" s="414"/>
    </row>
    <row r="47" spans="1:29" s="579" customFormat="1" ht="36">
      <c r="B47" s="611"/>
      <c r="C47" s="586" t="s">
        <v>963</v>
      </c>
      <c r="D47" s="586" t="s">
        <v>177</v>
      </c>
      <c r="E47" s="586" t="s">
        <v>938</v>
      </c>
      <c r="F47" s="586" t="s">
        <v>937</v>
      </c>
      <c r="G47" s="586" t="s">
        <v>178</v>
      </c>
      <c r="H47" s="586" t="s">
        <v>179</v>
      </c>
      <c r="I47" s="586" t="s">
        <v>180</v>
      </c>
      <c r="J47" s="175" t="s">
        <v>760</v>
      </c>
      <c r="K47" s="175" t="s">
        <v>39</v>
      </c>
      <c r="L47" s="547" t="s">
        <v>754</v>
      </c>
      <c r="M47" s="586" t="s">
        <v>35</v>
      </c>
      <c r="N47" s="586" t="s">
        <v>36</v>
      </c>
      <c r="O47" s="403" t="s">
        <v>1116</v>
      </c>
      <c r="P47" s="586" t="s">
        <v>892</v>
      </c>
      <c r="Q47" s="586" t="s">
        <v>177</v>
      </c>
      <c r="R47" s="586" t="s">
        <v>938</v>
      </c>
      <c r="S47" s="586" t="s">
        <v>937</v>
      </c>
      <c r="T47" s="586" t="s">
        <v>178</v>
      </c>
      <c r="U47" s="586" t="s">
        <v>179</v>
      </c>
      <c r="V47" s="586" t="s">
        <v>180</v>
      </c>
      <c r="W47" s="586" t="s">
        <v>756</v>
      </c>
      <c r="X47" s="586" t="s">
        <v>35</v>
      </c>
      <c r="Y47" s="586" t="s">
        <v>41</v>
      </c>
      <c r="Z47" s="403" t="s">
        <v>1116</v>
      </c>
      <c r="AA47" s="389" t="s">
        <v>42</v>
      </c>
      <c r="AB47" s="389" t="s">
        <v>43</v>
      </c>
      <c r="AC47" s="403" t="s">
        <v>864</v>
      </c>
    </row>
    <row r="48" spans="1:29">
      <c r="B48" s="100" t="s">
        <v>21</v>
      </c>
      <c r="C48" s="193"/>
      <c r="D48" s="100" t="s">
        <v>181</v>
      </c>
      <c r="E48" s="193"/>
      <c r="F48" s="193"/>
      <c r="G48" s="402" t="s">
        <v>182</v>
      </c>
      <c r="H48" s="402" t="s">
        <v>182</v>
      </c>
      <c r="I48" s="402" t="s">
        <v>18</v>
      </c>
      <c r="J48" s="404" t="s">
        <v>867</v>
      </c>
      <c r="K48" s="404" t="s">
        <v>868</v>
      </c>
      <c r="L48" s="404" t="s">
        <v>173</v>
      </c>
      <c r="M48" s="402" t="s">
        <v>19</v>
      </c>
      <c r="N48" s="101" t="s">
        <v>8</v>
      </c>
      <c r="O48" s="402" t="s">
        <v>761</v>
      </c>
      <c r="P48" s="473"/>
      <c r="Q48" s="100" t="s">
        <v>181</v>
      </c>
      <c r="R48" s="193"/>
      <c r="S48" s="193"/>
      <c r="T48" s="402" t="s">
        <v>182</v>
      </c>
      <c r="U48" s="402" t="s">
        <v>182</v>
      </c>
      <c r="V48" s="402" t="s">
        <v>18</v>
      </c>
      <c r="W48" s="402" t="s">
        <v>48</v>
      </c>
      <c r="X48" s="402" t="s">
        <v>19</v>
      </c>
      <c r="Y48" s="101" t="s">
        <v>8</v>
      </c>
      <c r="Z48" s="402" t="s">
        <v>761</v>
      </c>
      <c r="AA48" s="402" t="s">
        <v>19</v>
      </c>
      <c r="AB48" s="101" t="s">
        <v>8</v>
      </c>
      <c r="AC48" s="402" t="s">
        <v>761</v>
      </c>
    </row>
    <row r="49" spans="2:29">
      <c r="B49" s="402" t="s">
        <v>16</v>
      </c>
      <c r="C49" s="425"/>
      <c r="D49" s="20">
        <f>SUM(D50:D58)</f>
        <v>180</v>
      </c>
      <c r="E49" s="502"/>
      <c r="F49" s="502"/>
      <c r="G49" s="563">
        <f>SUM(G50:G58)</f>
        <v>573</v>
      </c>
      <c r="H49" s="20">
        <f>SUM(H50:H58)</f>
        <v>2895</v>
      </c>
      <c r="I49" s="146"/>
      <c r="J49" s="146"/>
      <c r="K49" s="146"/>
      <c r="L49" s="52">
        <f>SUM(L50:L58)</f>
        <v>17520</v>
      </c>
      <c r="M49" s="25">
        <f>SUM(M50:M58)</f>
        <v>9077.112000000001</v>
      </c>
      <c r="N49" s="61">
        <f>SUM(N50:N58)</f>
        <v>3.9122352720000002</v>
      </c>
      <c r="O49" s="125">
        <f>SUM(O50:O58)</f>
        <v>2.0233971901440002</v>
      </c>
      <c r="P49" s="502"/>
      <c r="Q49" s="20">
        <f>SUM(Q50:Q58)</f>
        <v>180</v>
      </c>
      <c r="R49" s="502"/>
      <c r="S49" s="502"/>
      <c r="T49" s="563">
        <f>SUM(T50:T58)</f>
        <v>329</v>
      </c>
      <c r="U49" s="20">
        <f>SUM(U50:U58)</f>
        <v>2071</v>
      </c>
      <c r="V49" s="146"/>
      <c r="W49" s="146"/>
      <c r="X49" s="25">
        <f t="shared" ref="X49:AC49" si="16">SUM(X50:X58)</f>
        <v>5784.7536</v>
      </c>
      <c r="Y49" s="61">
        <f t="shared" si="16"/>
        <v>2.4932288016000004</v>
      </c>
      <c r="Z49" s="125">
        <f t="shared" si="16"/>
        <v>1.2894909944832</v>
      </c>
      <c r="AA49" s="150">
        <f t="shared" si="16"/>
        <v>3292.3584000000001</v>
      </c>
      <c r="AB49" s="125">
        <f t="shared" si="16"/>
        <v>1.4190064703999998</v>
      </c>
      <c r="AC49" s="125">
        <f t="shared" si="16"/>
        <v>0.73390619566080018</v>
      </c>
    </row>
    <row r="50" spans="2:29" s="579" customFormat="1" ht="36">
      <c r="B50" s="102" t="s">
        <v>49</v>
      </c>
      <c r="C50" s="581" t="s">
        <v>1039</v>
      </c>
      <c r="D50" s="581">
        <v>150</v>
      </c>
      <c r="E50" s="581" t="s">
        <v>1037</v>
      </c>
      <c r="F50" s="581" t="s">
        <v>1034</v>
      </c>
      <c r="G50" s="582">
        <v>482</v>
      </c>
      <c r="H50" s="582">
        <v>2420</v>
      </c>
      <c r="I50" s="232">
        <f t="shared" ref="I50:I51" si="17">IF(D50&lt;=500,0.4,0.5)</f>
        <v>0.4</v>
      </c>
      <c r="J50" s="583">
        <v>24</v>
      </c>
      <c r="K50" s="583">
        <v>365</v>
      </c>
      <c r="L50" s="584">
        <f>J50*K50</f>
        <v>8760</v>
      </c>
      <c r="M50" s="18">
        <f t="shared" ref="M50:M51" si="18">(G50+H50*I50^2)*L50/1000</f>
        <v>7614.192</v>
      </c>
      <c r="N50" s="330">
        <f>M50*係数!$H$30</f>
        <v>3.2817167519999999</v>
      </c>
      <c r="O50" s="329">
        <f>M50*係数!$C$30*0.0000258</f>
        <v>1.6972947671040002</v>
      </c>
      <c r="P50" s="581" t="s">
        <v>1041</v>
      </c>
      <c r="Q50" s="581">
        <v>150</v>
      </c>
      <c r="R50" s="581" t="s">
        <v>1037</v>
      </c>
      <c r="S50" s="581" t="s">
        <v>1034</v>
      </c>
      <c r="T50" s="582">
        <v>278</v>
      </c>
      <c r="U50" s="582">
        <v>1600</v>
      </c>
      <c r="V50" s="232">
        <f t="shared" ref="V50:V51" si="19">IF(Q50="","",IF(Q50&lt;=500,0.4,0.5))</f>
        <v>0.4</v>
      </c>
      <c r="W50" s="161">
        <f>IF(L50="","",L50)</f>
        <v>8760</v>
      </c>
      <c r="X50" s="233">
        <f>IFERROR((T50+U50*V50^2)*W50/1000,0)</f>
        <v>4677.84</v>
      </c>
      <c r="Y50" s="330">
        <f>X50*係数!$H$30</f>
        <v>2.0161490400000002</v>
      </c>
      <c r="Z50" s="329">
        <f>X50*係数!$C$30*0.0000258</f>
        <v>1.0427466700800001</v>
      </c>
      <c r="AA50" s="234">
        <f>M50-X50</f>
        <v>2936.3519999999999</v>
      </c>
      <c r="AB50" s="239">
        <f>N50-Y50</f>
        <v>1.2655677119999997</v>
      </c>
      <c r="AC50" s="239">
        <f>O50-Z50</f>
        <v>0.65454809702400008</v>
      </c>
    </row>
    <row r="51" spans="2:29" s="579" customFormat="1" ht="36">
      <c r="B51" s="102" t="s">
        <v>50</v>
      </c>
      <c r="C51" s="581" t="s">
        <v>1040</v>
      </c>
      <c r="D51" s="581">
        <v>30</v>
      </c>
      <c r="E51" s="581" t="s">
        <v>1035</v>
      </c>
      <c r="F51" s="581" t="s">
        <v>1036</v>
      </c>
      <c r="G51" s="582">
        <v>91</v>
      </c>
      <c r="H51" s="582">
        <v>475</v>
      </c>
      <c r="I51" s="232">
        <f t="shared" si="17"/>
        <v>0.4</v>
      </c>
      <c r="J51" s="585">
        <v>24</v>
      </c>
      <c r="K51" s="585">
        <v>365</v>
      </c>
      <c r="L51" s="584">
        <f t="shared" ref="L51" si="20">J51*K51</f>
        <v>8760</v>
      </c>
      <c r="M51" s="18">
        <f t="shared" si="18"/>
        <v>1462.92</v>
      </c>
      <c r="N51" s="330">
        <f>M51*係数!$H$30</f>
        <v>0.63051852000000008</v>
      </c>
      <c r="O51" s="329">
        <f>M51*係数!$C$30*0.0000258</f>
        <v>0.32610242304000009</v>
      </c>
      <c r="P51" s="581" t="s">
        <v>1042</v>
      </c>
      <c r="Q51" s="581">
        <v>30</v>
      </c>
      <c r="R51" s="581" t="s">
        <v>1035</v>
      </c>
      <c r="S51" s="581" t="s">
        <v>1036</v>
      </c>
      <c r="T51" s="582">
        <v>51</v>
      </c>
      <c r="U51" s="582">
        <v>471</v>
      </c>
      <c r="V51" s="232">
        <f t="shared" si="19"/>
        <v>0.4</v>
      </c>
      <c r="W51" s="161">
        <f>IF(L51="","",L51)</f>
        <v>8760</v>
      </c>
      <c r="X51" s="233">
        <f t="shared" ref="X51" si="21">IFERROR((T51+U51*V51^2)*W51/1000,0)</f>
        <v>1106.9136000000001</v>
      </c>
      <c r="Y51" s="330">
        <f>X51*係数!$H$30</f>
        <v>0.47707976160000004</v>
      </c>
      <c r="Z51" s="329">
        <f>X51*係数!$C$30*0.0000258</f>
        <v>0.24674432440320004</v>
      </c>
      <c r="AA51" s="234">
        <f>M51-X51</f>
        <v>356.00639999999999</v>
      </c>
      <c r="AB51" s="239">
        <f>N51-Y51</f>
        <v>0.15343875840000004</v>
      </c>
      <c r="AC51" s="239">
        <f t="shared" ref="AC51" si="22">O51-Z51</f>
        <v>7.9358098636800045E-2</v>
      </c>
    </row>
  </sheetData>
  <sheetProtection algorithmName="SHA-512" hashValue="ZMyTSz1KCMAU7ED9nsv42Qatrh6fD4X82TRDT/JfcxG9frD+4bWPhjfyfCazPAVyWJT1ItipxEMCEleyE2yh5g==" saltValue="ATqV4n7kRKthqK6XrttNLg==" spinCount="100000" sheet="1" formatCells="0" formatColumns="0" formatRows="0"/>
  <mergeCells count="10">
    <mergeCell ref="B46:B47"/>
    <mergeCell ref="K3:T3"/>
    <mergeCell ref="K4:T4"/>
    <mergeCell ref="K6:T6"/>
    <mergeCell ref="L7:T7"/>
    <mergeCell ref="B16:B17"/>
    <mergeCell ref="B4:C4"/>
    <mergeCell ref="B5:C5"/>
    <mergeCell ref="B6:C6"/>
    <mergeCell ref="B7:C7"/>
  </mergeCells>
  <phoneticPr fontId="6"/>
  <conditionalFormatting sqref="E7">
    <cfRule type="expression" dxfId="16" priority="7">
      <formula>$E$1="なし"</formula>
    </cfRule>
  </conditionalFormatting>
  <conditionalFormatting sqref="F7">
    <cfRule type="expression" dxfId="15" priority="6">
      <formula>$E$1="なし"</formula>
    </cfRule>
  </conditionalFormatting>
  <conditionalFormatting sqref="Q19">
    <cfRule type="cellIs" dxfId="14" priority="5" operator="greaterThan">
      <formula>$D$19</formula>
    </cfRule>
  </conditionalFormatting>
  <conditionalFormatting sqref="Q49">
    <cfRule type="cellIs" dxfId="13" priority="2" operator="greaterThan">
      <formula>$D$49</formula>
    </cfRule>
  </conditionalFormatting>
  <conditionalFormatting sqref="L7:T7">
    <cfRule type="cellIs" dxfId="12" priority="1" operator="notEqual">
      <formula>"ー"</formula>
    </cfRule>
  </conditionalFormatting>
  <hyperlinks>
    <hyperlink ref="P10" display="https://www.enecho.meti.go.jp/category/saving_and_new/saving/enterprise/equipment/"/>
    <hyperlink ref="P11" location="search" display="https://sii.or.jp/setsubi05r/search/maker?tab=maker&amp;category=led_light#search"/>
  </hyperlinks>
  <pageMargins left="0.70866141732283472" right="0.70866141732283472" top="0.74803149606299213" bottom="0.74803149606299213" header="0.31496062992125984" footer="0.31496062992125984"/>
  <pageSetup paperSize="8" fitToHeight="0" orientation="landscape"/>
  <ignoredErrors>
    <ignoredError sqref="E19 R19 V19:W19 I19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8"/>
  <sheetViews>
    <sheetView workbookViewId="0"/>
  </sheetViews>
  <sheetFormatPr defaultColWidth="8.83203125" defaultRowHeight="18"/>
  <cols>
    <col min="1" max="1" width="10.5" style="14" customWidth="1"/>
    <col min="2" max="2" width="9.58203125" style="14" customWidth="1"/>
    <col min="3" max="8" width="10.4140625" style="14" customWidth="1"/>
    <col min="9" max="9" width="13.9140625" style="14" customWidth="1"/>
    <col min="10" max="12" width="10.4140625" style="14" customWidth="1"/>
    <col min="13" max="13" width="12.83203125" style="14" customWidth="1"/>
    <col min="14" max="25" width="10.4140625" style="14" customWidth="1"/>
    <col min="26" max="26" width="8.83203125" style="14"/>
    <col min="27" max="27" width="10.1640625" style="14" bestFit="1" customWidth="1"/>
    <col min="28" max="16384" width="8.83203125" style="14"/>
  </cols>
  <sheetData>
    <row r="1" spans="1:27" ht="29">
      <c r="A1" s="13" t="s">
        <v>151</v>
      </c>
      <c r="F1" s="118"/>
      <c r="G1" s="113"/>
      <c r="H1" s="118"/>
      <c r="I1" s="120"/>
      <c r="J1" s="118"/>
      <c r="K1" s="118"/>
      <c r="L1" s="121"/>
      <c r="M1" s="118"/>
    </row>
    <row r="2" spans="1:27">
      <c r="A2" s="14" t="s">
        <v>152</v>
      </c>
    </row>
    <row r="3" spans="1:27">
      <c r="D3" s="676" t="s">
        <v>20</v>
      </c>
      <c r="E3" s="677"/>
      <c r="F3" s="97" t="s">
        <v>21</v>
      </c>
      <c r="G3" s="155" t="s">
        <v>22</v>
      </c>
      <c r="H3" s="155" t="s">
        <v>23</v>
      </c>
      <c r="I3" s="155" t="s">
        <v>24</v>
      </c>
      <c r="J3" s="98" t="s">
        <v>25</v>
      </c>
      <c r="M3" s="670" t="s">
        <v>380</v>
      </c>
      <c r="N3" s="671"/>
      <c r="O3" s="671"/>
      <c r="P3" s="671"/>
      <c r="Q3" s="671"/>
      <c r="R3" s="671"/>
      <c r="S3" s="671"/>
      <c r="T3" s="671"/>
      <c r="U3" s="672"/>
    </row>
    <row r="4" spans="1:27">
      <c r="D4" s="651" t="s">
        <v>100</v>
      </c>
      <c r="E4" s="652"/>
      <c r="F4" s="153" t="s">
        <v>19</v>
      </c>
      <c r="G4" s="7">
        <f>K18</f>
        <v>0</v>
      </c>
      <c r="H4" s="7">
        <f>V18</f>
        <v>0</v>
      </c>
      <c r="I4" s="27">
        <f>G4-H4</f>
        <v>0</v>
      </c>
      <c r="J4" s="10">
        <f>IF(OR(G4=0,I4=0),0,I4/G4)</f>
        <v>0</v>
      </c>
      <c r="M4" s="673"/>
      <c r="N4" s="674"/>
      <c r="O4" s="674"/>
      <c r="P4" s="674"/>
      <c r="Q4" s="674"/>
      <c r="R4" s="674"/>
      <c r="S4" s="674"/>
      <c r="T4" s="674"/>
      <c r="U4" s="675"/>
    </row>
    <row r="5" spans="1:27">
      <c r="D5" s="649" t="s">
        <v>153</v>
      </c>
      <c r="E5" s="650"/>
      <c r="F5" s="106" t="str">
        <f>$G$10&amp;"/年"</f>
        <v>/年</v>
      </c>
      <c r="G5" s="7">
        <f>L18</f>
        <v>0</v>
      </c>
      <c r="H5" s="7">
        <f>W18</f>
        <v>0</v>
      </c>
      <c r="I5" s="27">
        <f>G5-H5</f>
        <v>0</v>
      </c>
      <c r="J5" s="10">
        <f>IF(OR(G5=0,I5=0),0,I5/G5)</f>
        <v>0</v>
      </c>
      <c r="M5" s="168" t="s">
        <v>225</v>
      </c>
    </row>
    <row r="6" spans="1:27">
      <c r="D6" s="651" t="s">
        <v>101</v>
      </c>
      <c r="E6" s="652"/>
      <c r="F6" s="101" t="s">
        <v>8</v>
      </c>
      <c r="G6" s="63">
        <f>M18</f>
        <v>0</v>
      </c>
      <c r="H6" s="63">
        <f>X18</f>
        <v>0</v>
      </c>
      <c r="I6" s="127">
        <f>G6-H6</f>
        <v>0</v>
      </c>
      <c r="J6" s="10">
        <f>IF(OR(G6=0,I6=0),0,I6/G6)</f>
        <v>0</v>
      </c>
    </row>
    <row r="7" spans="1:27">
      <c r="D7" s="651" t="s">
        <v>2</v>
      </c>
      <c r="E7" s="652"/>
      <c r="F7" s="156" t="s">
        <v>27</v>
      </c>
      <c r="G7" s="123" t="str">
        <f>IF(AND(エネルギー使用量!$I$6=0,$H$10=""),"ー",G4*エネルギー使用量!$I$6+G5*$H$10)</f>
        <v>ー</v>
      </c>
      <c r="H7" s="123" t="str">
        <f>IF(AND(エネルギー使用量!$I$6=0,$H$10=""),"ー",H4*エネルギー使用量!$I$6+H5*$H$10)</f>
        <v>ー</v>
      </c>
      <c r="I7" s="124" t="str">
        <f>IF(OR(G7="ー",H7="ー"),"ー",G7-H7)</f>
        <v>ー</v>
      </c>
      <c r="J7" s="119" t="str">
        <f>IF(OR(G7="ー",I7="ー"),"ー",I7/G7)</f>
        <v>ー</v>
      </c>
    </row>
    <row r="8" spans="1:27">
      <c r="D8" s="668" t="s">
        <v>28</v>
      </c>
      <c r="E8" s="669"/>
      <c r="F8" s="153" t="s">
        <v>29</v>
      </c>
      <c r="G8" s="172">
        <f>IF(OR(G4=0,G5=0,$I$10=""),0,(G4*係数!$C$30+G5*$I$10)*0.0000258)</f>
        <v>0</v>
      </c>
      <c r="H8" s="172">
        <f>IF(OR(H4=0,H5=0,$I$10=""),0,(H4*係数!$C$30+H5*$I$10)*0.0000258)</f>
        <v>0</v>
      </c>
      <c r="I8" s="173">
        <f>G8-H8</f>
        <v>0</v>
      </c>
      <c r="J8" s="10">
        <f>IF(OR(G8=0,I8=0),0,I8/G8)</f>
        <v>0</v>
      </c>
    </row>
    <row r="9" spans="1:27">
      <c r="D9" s="102" t="s">
        <v>113</v>
      </c>
      <c r="E9" s="154" t="s">
        <v>114</v>
      </c>
      <c r="F9" s="107"/>
      <c r="G9" s="100" t="s">
        <v>120</v>
      </c>
      <c r="H9" s="100" t="s">
        <v>115</v>
      </c>
      <c r="I9" s="100" t="s">
        <v>121</v>
      </c>
    </row>
    <row r="10" spans="1:27">
      <c r="D10" s="23"/>
      <c r="E10" s="11" t="str">
        <f>IF(D10="","",VLOOKUP(D10,係数!$B$3:$I$30,7,FALSE))</f>
        <v/>
      </c>
      <c r="F10" s="11" t="str">
        <f>IF(D10="","",VLOOKUP(D10,係数!$B$3:$I$30,8,FALSE))</f>
        <v/>
      </c>
      <c r="G10" s="11" t="str">
        <f>IF(D10="","",VLOOKUP(D10,係数!$B$3:$I$30,4,FALSE))</f>
        <v/>
      </c>
      <c r="H10" s="11" t="str">
        <f>IF(OR(D10="",エネルギー使用量!$C$6:$I$10=0),"",VLOOKUP(D10,エネルギー使用量!$C$6:$I$10,6,FALSE))</f>
        <v/>
      </c>
      <c r="I10" s="11" t="str">
        <f>IF(D10="","",VLOOKUP(D10,係数!$B$3:$I$30,2,FALSE))</f>
        <v/>
      </c>
    </row>
    <row r="11" spans="1:27">
      <c r="A11" s="28"/>
    </row>
    <row r="12" spans="1:27">
      <c r="A12" s="14" t="s">
        <v>30</v>
      </c>
    </row>
    <row r="14" spans="1:27">
      <c r="B14" s="100"/>
      <c r="C14" s="108" t="s">
        <v>22</v>
      </c>
      <c r="D14" s="110"/>
      <c r="E14" s="115"/>
      <c r="F14" s="115"/>
      <c r="G14" s="115"/>
      <c r="H14" s="115"/>
      <c r="I14" s="115"/>
      <c r="J14" s="115"/>
      <c r="K14" s="115"/>
      <c r="L14" s="107"/>
      <c r="M14" s="108" t="s">
        <v>23</v>
      </c>
      <c r="N14" s="110"/>
      <c r="O14" s="110"/>
      <c r="P14" s="110"/>
      <c r="Q14" s="115"/>
      <c r="R14" s="115"/>
      <c r="S14" s="115"/>
      <c r="T14" s="115"/>
      <c r="U14" s="115"/>
      <c r="V14" s="115"/>
      <c r="W14" s="115"/>
      <c r="X14" s="107"/>
      <c r="Y14" s="116" t="s">
        <v>31</v>
      </c>
      <c r="Z14" s="115"/>
      <c r="AA14" s="107"/>
    </row>
    <row r="15" spans="1:27" ht="36">
      <c r="B15" s="167" t="s">
        <v>20</v>
      </c>
      <c r="C15" s="174" t="s">
        <v>32</v>
      </c>
      <c r="D15" s="102" t="s">
        <v>124</v>
      </c>
      <c r="E15" s="175" t="s">
        <v>33</v>
      </c>
      <c r="F15" s="175" t="s">
        <v>126</v>
      </c>
      <c r="G15" s="175" t="s">
        <v>34</v>
      </c>
      <c r="H15" s="175" t="s">
        <v>751</v>
      </c>
      <c r="I15" s="175" t="s">
        <v>39</v>
      </c>
      <c r="J15" s="175" t="s">
        <v>752</v>
      </c>
      <c r="K15" s="175" t="s">
        <v>35</v>
      </c>
      <c r="L15" s="175" t="s">
        <v>128</v>
      </c>
      <c r="M15" s="175" t="s">
        <v>129</v>
      </c>
      <c r="N15" s="174" t="s">
        <v>32</v>
      </c>
      <c r="O15" s="102" t="s">
        <v>124</v>
      </c>
      <c r="P15" s="175" t="s">
        <v>37</v>
      </c>
      <c r="Q15" s="175" t="s">
        <v>130</v>
      </c>
      <c r="R15" s="175" t="s">
        <v>38</v>
      </c>
      <c r="S15" s="175" t="s">
        <v>751</v>
      </c>
      <c r="T15" s="175" t="s">
        <v>39</v>
      </c>
      <c r="U15" s="175" t="s">
        <v>753</v>
      </c>
      <c r="V15" s="175" t="s">
        <v>40</v>
      </c>
      <c r="W15" s="175" t="s">
        <v>131</v>
      </c>
      <c r="X15" s="175" t="s">
        <v>41</v>
      </c>
      <c r="Y15" s="175" t="s">
        <v>42</v>
      </c>
      <c r="Z15" s="175" t="s">
        <v>118</v>
      </c>
      <c r="AA15" s="175" t="s">
        <v>132</v>
      </c>
    </row>
    <row r="16" spans="1:27">
      <c r="B16" s="100" t="s">
        <v>21</v>
      </c>
      <c r="C16" s="100"/>
      <c r="D16" s="153"/>
      <c r="E16" s="153" t="s">
        <v>107</v>
      </c>
      <c r="F16" s="109" t="str">
        <f>$G$10&amp;"/(台・h)"</f>
        <v>/(台・h)</v>
      </c>
      <c r="G16" s="153" t="s">
        <v>45</v>
      </c>
      <c r="H16" s="153" t="s">
        <v>46</v>
      </c>
      <c r="I16" s="153" t="s">
        <v>47</v>
      </c>
      <c r="J16" s="153" t="s">
        <v>48</v>
      </c>
      <c r="K16" s="153" t="s">
        <v>19</v>
      </c>
      <c r="L16" s="106" t="str">
        <f>$G$10&amp;"/年"</f>
        <v>/年</v>
      </c>
      <c r="M16" s="101" t="s">
        <v>8</v>
      </c>
      <c r="N16" s="101"/>
      <c r="O16" s="153"/>
      <c r="P16" s="153" t="s">
        <v>107</v>
      </c>
      <c r="Q16" s="109" t="str">
        <f>$G$10&amp;"/(台・h)"</f>
        <v>/(台・h)</v>
      </c>
      <c r="R16" s="153" t="s">
        <v>45</v>
      </c>
      <c r="S16" s="153" t="s">
        <v>46</v>
      </c>
      <c r="T16" s="153" t="s">
        <v>47</v>
      </c>
      <c r="U16" s="153" t="s">
        <v>48</v>
      </c>
      <c r="V16" s="153" t="s">
        <v>19</v>
      </c>
      <c r="W16" s="106" t="str">
        <f>$G$10&amp;"/年"</f>
        <v>/年</v>
      </c>
      <c r="X16" s="101" t="s">
        <v>8</v>
      </c>
      <c r="Y16" s="153" t="s">
        <v>19</v>
      </c>
      <c r="Z16" s="106" t="str">
        <f>$G$10&amp;"/年"</f>
        <v>/年</v>
      </c>
      <c r="AA16" s="101" t="s">
        <v>8</v>
      </c>
    </row>
    <row r="17" spans="2:27">
      <c r="B17" s="133" t="s">
        <v>226</v>
      </c>
      <c r="C17" s="133"/>
      <c r="D17" s="134"/>
      <c r="E17" s="135">
        <v>0.2</v>
      </c>
      <c r="F17" s="135">
        <v>0.3</v>
      </c>
      <c r="G17" s="135">
        <v>6</v>
      </c>
      <c r="H17" s="135">
        <v>10</v>
      </c>
      <c r="I17" s="135">
        <v>150</v>
      </c>
      <c r="J17" s="136">
        <f>H17*I17</f>
        <v>1500</v>
      </c>
      <c r="K17" s="136">
        <f>E17*G17*J17</f>
        <v>1800.0000000000002</v>
      </c>
      <c r="L17" s="136">
        <f>F17*G17*J17</f>
        <v>2699.9999999999995</v>
      </c>
      <c r="M17" s="137">
        <f>K17*係数!$H$30+L17*0.0024895</f>
        <v>7.4974499999999988</v>
      </c>
      <c r="N17" s="138"/>
      <c r="O17" s="134"/>
      <c r="P17" s="135">
        <v>0.1</v>
      </c>
      <c r="Q17" s="135">
        <v>0.2</v>
      </c>
      <c r="R17" s="139">
        <v>5</v>
      </c>
      <c r="S17" s="135">
        <v>12</v>
      </c>
      <c r="T17" s="135">
        <v>100</v>
      </c>
      <c r="U17" s="136">
        <f>S17*T17</f>
        <v>1200</v>
      </c>
      <c r="V17" s="136">
        <f>P17*R17*U17</f>
        <v>600</v>
      </c>
      <c r="W17" s="136">
        <f>Q17*R17*U17</f>
        <v>1200</v>
      </c>
      <c r="X17" s="137">
        <f>V17*係数!$H$30+W17*0.0024895</f>
        <v>3.246</v>
      </c>
      <c r="Y17" s="136">
        <f>K17-V17</f>
        <v>1200.0000000000002</v>
      </c>
      <c r="Z17" s="136">
        <f>L17-W17</f>
        <v>1499.9999999999995</v>
      </c>
      <c r="AA17" s="140">
        <f>IF(OR(M17="",X17=""),0,M17-X17)</f>
        <v>4.2514499999999984</v>
      </c>
    </row>
    <row r="18" spans="2:27">
      <c r="B18" s="157" t="s">
        <v>16</v>
      </c>
      <c r="C18" s="11"/>
      <c r="D18" s="20">
        <f>SUM(D19:D38)</f>
        <v>0</v>
      </c>
      <c r="E18" s="15"/>
      <c r="G18" s="20">
        <f>SUM(G19:G38)</f>
        <v>0</v>
      </c>
      <c r="H18" s="15"/>
      <c r="I18" s="15"/>
      <c r="J18" s="60">
        <f>SUM(J19:J38)</f>
        <v>0</v>
      </c>
      <c r="K18" s="60">
        <f>SUM(K19:K38)</f>
        <v>0</v>
      </c>
      <c r="L18" s="60">
        <f>SUM(L19:L38)</f>
        <v>0</v>
      </c>
      <c r="M18" s="61">
        <f>SUM(M19:M38)</f>
        <v>0</v>
      </c>
      <c r="N18" s="17"/>
      <c r="O18" s="20">
        <f>SUM(O19:O38)</f>
        <v>0</v>
      </c>
      <c r="P18" s="15"/>
      <c r="Q18" s="15"/>
      <c r="R18" s="20">
        <f>SUM(R19:R38)</f>
        <v>0</v>
      </c>
      <c r="S18" s="15"/>
      <c r="T18" s="15"/>
      <c r="U18" s="60">
        <f>SUM(U19:U38)</f>
        <v>0</v>
      </c>
      <c r="V18" s="60">
        <f t="shared" ref="V18:AA18" si="0">SUM(V19:V38)</f>
        <v>0</v>
      </c>
      <c r="W18" s="60">
        <f t="shared" si="0"/>
        <v>0</v>
      </c>
      <c r="X18" s="61">
        <f t="shared" si="0"/>
        <v>0</v>
      </c>
      <c r="Y18" s="60">
        <f t="shared" si="0"/>
        <v>0</v>
      </c>
      <c r="Z18" s="60">
        <f t="shared" si="0"/>
        <v>0</v>
      </c>
      <c r="AA18" s="125">
        <f t="shared" si="0"/>
        <v>0</v>
      </c>
    </row>
    <row r="19" spans="2:27">
      <c r="B19" s="100" t="s">
        <v>136</v>
      </c>
      <c r="C19" s="12"/>
      <c r="D19" s="1"/>
      <c r="E19" s="3"/>
      <c r="F19" s="3"/>
      <c r="G19" s="3"/>
      <c r="H19" s="3"/>
      <c r="I19" s="3"/>
      <c r="J19" s="8">
        <f t="shared" ref="J19:J38" si="1">H19*I19</f>
        <v>0</v>
      </c>
      <c r="K19" s="8">
        <f t="shared" ref="K19:K38" si="2">E19*G19*J19</f>
        <v>0</v>
      </c>
      <c r="L19" s="8">
        <f t="shared" ref="L19:L38" si="3">F19*G19*J19</f>
        <v>0</v>
      </c>
      <c r="M19" s="56">
        <f>IF(OR($E$10="",K19="",L19=""),0,K19*係数!$H$30+L19*$E$10)</f>
        <v>0</v>
      </c>
      <c r="N19" s="12"/>
      <c r="O19" s="1"/>
      <c r="P19" s="3"/>
      <c r="Q19" s="3"/>
      <c r="R19" s="3"/>
      <c r="S19" s="3"/>
      <c r="T19" s="3"/>
      <c r="U19" s="8">
        <f>S19*T19</f>
        <v>0</v>
      </c>
      <c r="V19" s="8">
        <f t="shared" ref="V19:V38" si="4">P19*R19*U19</f>
        <v>0</v>
      </c>
      <c r="W19" s="8">
        <f t="shared" ref="W19:W38" si="5">Q19*R19*U19</f>
        <v>0</v>
      </c>
      <c r="X19" s="56">
        <f>V19*係数!$H$30+W19*係数!$H$25</f>
        <v>0</v>
      </c>
      <c r="Y19" s="8">
        <f t="shared" ref="Y19:Z38" si="6">K19-V19</f>
        <v>0</v>
      </c>
      <c r="Z19" s="8">
        <f t="shared" si="6"/>
        <v>0</v>
      </c>
      <c r="AA19" s="125">
        <f t="shared" ref="AA19:AA38" si="7">IF(OR(M19="",X19=""),0,M19-X19)</f>
        <v>0</v>
      </c>
    </row>
    <row r="20" spans="2:27">
      <c r="B20" s="100" t="s">
        <v>137</v>
      </c>
      <c r="C20" s="12"/>
      <c r="D20" s="1"/>
      <c r="E20" s="3"/>
      <c r="F20" s="3"/>
      <c r="G20" s="3"/>
      <c r="H20" s="3"/>
      <c r="I20" s="3"/>
      <c r="J20" s="8">
        <f t="shared" si="1"/>
        <v>0</v>
      </c>
      <c r="K20" s="8">
        <f t="shared" si="2"/>
        <v>0</v>
      </c>
      <c r="L20" s="8">
        <f t="shared" si="3"/>
        <v>0</v>
      </c>
      <c r="M20" s="56">
        <f>IF(OR($E$10="",K20="",L20=""),0,K20*係数!$H$30+L20*$E$10)</f>
        <v>0</v>
      </c>
      <c r="N20" s="12"/>
      <c r="O20" s="1"/>
      <c r="P20" s="3"/>
      <c r="Q20" s="3"/>
      <c r="R20" s="3"/>
      <c r="S20" s="3"/>
      <c r="T20" s="3"/>
      <c r="U20" s="8">
        <f t="shared" ref="U20:U38" si="8">S20*T20</f>
        <v>0</v>
      </c>
      <c r="V20" s="8">
        <f t="shared" si="4"/>
        <v>0</v>
      </c>
      <c r="W20" s="8">
        <f t="shared" si="5"/>
        <v>0</v>
      </c>
      <c r="X20" s="56">
        <f>V20*係数!$H$30+W20*係数!$H$25</f>
        <v>0</v>
      </c>
      <c r="Y20" s="8">
        <f t="shared" si="6"/>
        <v>0</v>
      </c>
      <c r="Z20" s="8">
        <f t="shared" si="6"/>
        <v>0</v>
      </c>
      <c r="AA20" s="125">
        <f t="shared" si="7"/>
        <v>0</v>
      </c>
    </row>
    <row r="21" spans="2:27">
      <c r="B21" s="100" t="s">
        <v>138</v>
      </c>
      <c r="C21" s="12"/>
      <c r="D21" s="1"/>
      <c r="E21" s="3"/>
      <c r="F21" s="3"/>
      <c r="G21" s="3"/>
      <c r="H21" s="3"/>
      <c r="I21" s="3"/>
      <c r="J21" s="8">
        <f t="shared" si="1"/>
        <v>0</v>
      </c>
      <c r="K21" s="8">
        <f t="shared" si="2"/>
        <v>0</v>
      </c>
      <c r="L21" s="8">
        <f t="shared" si="3"/>
        <v>0</v>
      </c>
      <c r="M21" s="56">
        <f>IF(OR($E$10="",K21="",L21=""),0,K21*係数!$H$30+L21*$E$10)</f>
        <v>0</v>
      </c>
      <c r="N21" s="12"/>
      <c r="O21" s="1"/>
      <c r="P21" s="3"/>
      <c r="Q21" s="3"/>
      <c r="R21" s="3"/>
      <c r="S21" s="3"/>
      <c r="T21" s="3"/>
      <c r="U21" s="8">
        <f t="shared" si="8"/>
        <v>0</v>
      </c>
      <c r="V21" s="8">
        <f t="shared" si="4"/>
        <v>0</v>
      </c>
      <c r="W21" s="8">
        <f t="shared" si="5"/>
        <v>0</v>
      </c>
      <c r="X21" s="56">
        <f>V21*係数!$H$30+W21*係数!$H$25</f>
        <v>0</v>
      </c>
      <c r="Y21" s="8">
        <f t="shared" si="6"/>
        <v>0</v>
      </c>
      <c r="Z21" s="8">
        <f t="shared" si="6"/>
        <v>0</v>
      </c>
      <c r="AA21" s="125">
        <f t="shared" si="7"/>
        <v>0</v>
      </c>
    </row>
    <row r="22" spans="2:27">
      <c r="B22" s="100" t="s">
        <v>139</v>
      </c>
      <c r="C22" s="12"/>
      <c r="D22" s="1"/>
      <c r="E22" s="3"/>
      <c r="F22" s="3"/>
      <c r="G22" s="3"/>
      <c r="H22" s="3"/>
      <c r="I22" s="3"/>
      <c r="J22" s="8">
        <f t="shared" si="1"/>
        <v>0</v>
      </c>
      <c r="K22" s="8">
        <f t="shared" si="2"/>
        <v>0</v>
      </c>
      <c r="L22" s="8">
        <f t="shared" si="3"/>
        <v>0</v>
      </c>
      <c r="M22" s="56">
        <f>IF(OR($E$10="",K22="",L22=""),0,K22*係数!$H$30+L22*$E$10)</f>
        <v>0</v>
      </c>
      <c r="N22" s="12"/>
      <c r="O22" s="12"/>
      <c r="P22" s="3"/>
      <c r="Q22" s="3"/>
      <c r="R22" s="3"/>
      <c r="S22" s="3"/>
      <c r="T22" s="3"/>
      <c r="U22" s="8">
        <f t="shared" si="8"/>
        <v>0</v>
      </c>
      <c r="V22" s="8">
        <f t="shared" si="4"/>
        <v>0</v>
      </c>
      <c r="W22" s="8">
        <f t="shared" si="5"/>
        <v>0</v>
      </c>
      <c r="X22" s="56">
        <f>V22*係数!$H$30+W22*係数!$H$25</f>
        <v>0</v>
      </c>
      <c r="Y22" s="8">
        <f t="shared" si="6"/>
        <v>0</v>
      </c>
      <c r="Z22" s="8">
        <f t="shared" si="6"/>
        <v>0</v>
      </c>
      <c r="AA22" s="125">
        <f t="shared" si="7"/>
        <v>0</v>
      </c>
    </row>
    <row r="23" spans="2:27">
      <c r="B23" s="100" t="s">
        <v>140</v>
      </c>
      <c r="C23" s="12"/>
      <c r="D23" s="1"/>
      <c r="E23" s="3"/>
      <c r="F23" s="3"/>
      <c r="G23" s="3"/>
      <c r="H23" s="3"/>
      <c r="I23" s="3"/>
      <c r="J23" s="8">
        <f t="shared" si="1"/>
        <v>0</v>
      </c>
      <c r="K23" s="8">
        <f t="shared" si="2"/>
        <v>0</v>
      </c>
      <c r="L23" s="8">
        <f t="shared" si="3"/>
        <v>0</v>
      </c>
      <c r="M23" s="56">
        <f>IF(OR($E$10="",K23="",L23=""),0,K23*係数!$H$30+L23*$E$10)</f>
        <v>0</v>
      </c>
      <c r="N23" s="12"/>
      <c r="O23" s="12"/>
      <c r="P23" s="3"/>
      <c r="Q23" s="3"/>
      <c r="R23" s="3"/>
      <c r="S23" s="3"/>
      <c r="T23" s="3"/>
      <c r="U23" s="8">
        <f t="shared" si="8"/>
        <v>0</v>
      </c>
      <c r="V23" s="8">
        <f t="shared" si="4"/>
        <v>0</v>
      </c>
      <c r="W23" s="8">
        <f t="shared" si="5"/>
        <v>0</v>
      </c>
      <c r="X23" s="56">
        <f>V23*係数!$H$30+W23*係数!$H$25</f>
        <v>0</v>
      </c>
      <c r="Y23" s="8">
        <f t="shared" si="6"/>
        <v>0</v>
      </c>
      <c r="Z23" s="8">
        <f t="shared" si="6"/>
        <v>0</v>
      </c>
      <c r="AA23" s="125">
        <f t="shared" si="7"/>
        <v>0</v>
      </c>
    </row>
    <row r="24" spans="2:27">
      <c r="B24" s="100" t="s">
        <v>141</v>
      </c>
      <c r="C24" s="12"/>
      <c r="D24" s="1"/>
      <c r="E24" s="3"/>
      <c r="F24" s="3"/>
      <c r="G24" s="3"/>
      <c r="H24" s="3"/>
      <c r="I24" s="3"/>
      <c r="J24" s="8">
        <f t="shared" si="1"/>
        <v>0</v>
      </c>
      <c r="K24" s="8">
        <f t="shared" si="2"/>
        <v>0</v>
      </c>
      <c r="L24" s="8">
        <f t="shared" si="3"/>
        <v>0</v>
      </c>
      <c r="M24" s="56">
        <f>IF(OR($E$10="",K24="",L24=""),0,K24*係数!$H$30+L24*$E$10)</f>
        <v>0</v>
      </c>
      <c r="N24" s="12"/>
      <c r="O24" s="12"/>
      <c r="P24" s="3"/>
      <c r="Q24" s="3"/>
      <c r="R24" s="3"/>
      <c r="S24" s="3"/>
      <c r="T24" s="3"/>
      <c r="U24" s="8">
        <f t="shared" si="8"/>
        <v>0</v>
      </c>
      <c r="V24" s="8">
        <f t="shared" si="4"/>
        <v>0</v>
      </c>
      <c r="W24" s="8">
        <f t="shared" si="5"/>
        <v>0</v>
      </c>
      <c r="X24" s="56">
        <f>V24*係数!$H$30+W24*係数!$H$25</f>
        <v>0</v>
      </c>
      <c r="Y24" s="8">
        <f t="shared" si="6"/>
        <v>0</v>
      </c>
      <c r="Z24" s="8">
        <f t="shared" si="6"/>
        <v>0</v>
      </c>
      <c r="AA24" s="125">
        <f t="shared" si="7"/>
        <v>0</v>
      </c>
    </row>
    <row r="25" spans="2:27">
      <c r="B25" s="100" t="s">
        <v>142</v>
      </c>
      <c r="C25" s="12"/>
      <c r="D25" s="1"/>
      <c r="E25" s="3"/>
      <c r="F25" s="3"/>
      <c r="G25" s="3"/>
      <c r="H25" s="3"/>
      <c r="I25" s="3"/>
      <c r="J25" s="8">
        <f t="shared" si="1"/>
        <v>0</v>
      </c>
      <c r="K25" s="8">
        <f t="shared" si="2"/>
        <v>0</v>
      </c>
      <c r="L25" s="8">
        <f t="shared" si="3"/>
        <v>0</v>
      </c>
      <c r="M25" s="56">
        <f>IF(OR($E$10="",K25="",L25=""),0,K25*係数!$H$30+L25*$E$10)</f>
        <v>0</v>
      </c>
      <c r="N25" s="12"/>
      <c r="O25" s="12"/>
      <c r="P25" s="3"/>
      <c r="Q25" s="3"/>
      <c r="R25" s="3"/>
      <c r="S25" s="3"/>
      <c r="T25" s="3"/>
      <c r="U25" s="8">
        <f t="shared" si="8"/>
        <v>0</v>
      </c>
      <c r="V25" s="8">
        <f t="shared" si="4"/>
        <v>0</v>
      </c>
      <c r="W25" s="8">
        <f t="shared" si="5"/>
        <v>0</v>
      </c>
      <c r="X25" s="56">
        <f>V25*係数!$H$30+W25*係数!$H$25</f>
        <v>0</v>
      </c>
      <c r="Y25" s="8">
        <f t="shared" si="6"/>
        <v>0</v>
      </c>
      <c r="Z25" s="8">
        <f t="shared" si="6"/>
        <v>0</v>
      </c>
      <c r="AA25" s="125">
        <f t="shared" si="7"/>
        <v>0</v>
      </c>
    </row>
    <row r="26" spans="2:27">
      <c r="B26" s="100" t="s">
        <v>143</v>
      </c>
      <c r="C26" s="12"/>
      <c r="D26" s="1"/>
      <c r="E26" s="3"/>
      <c r="F26" s="3"/>
      <c r="G26" s="3"/>
      <c r="H26" s="3"/>
      <c r="I26" s="3"/>
      <c r="J26" s="8">
        <f t="shared" si="1"/>
        <v>0</v>
      </c>
      <c r="K26" s="8">
        <f t="shared" si="2"/>
        <v>0</v>
      </c>
      <c r="L26" s="8">
        <f t="shared" si="3"/>
        <v>0</v>
      </c>
      <c r="M26" s="56">
        <f>IF(OR($E$10="",K26="",L26=""),0,K26*係数!$H$30+L26*$E$10)</f>
        <v>0</v>
      </c>
      <c r="N26" s="12"/>
      <c r="O26" s="12"/>
      <c r="P26" s="3"/>
      <c r="Q26" s="3"/>
      <c r="R26" s="3"/>
      <c r="S26" s="3"/>
      <c r="T26" s="3"/>
      <c r="U26" s="8">
        <f t="shared" si="8"/>
        <v>0</v>
      </c>
      <c r="V26" s="8">
        <f t="shared" si="4"/>
        <v>0</v>
      </c>
      <c r="W26" s="8">
        <f t="shared" si="5"/>
        <v>0</v>
      </c>
      <c r="X26" s="56">
        <f>V26*係数!$H$30+W26*係数!$H$25</f>
        <v>0</v>
      </c>
      <c r="Y26" s="8">
        <f t="shared" si="6"/>
        <v>0</v>
      </c>
      <c r="Z26" s="8">
        <f t="shared" si="6"/>
        <v>0</v>
      </c>
      <c r="AA26" s="125">
        <f t="shared" si="7"/>
        <v>0</v>
      </c>
    </row>
    <row r="27" spans="2:27">
      <c r="B27" s="100" t="s">
        <v>144</v>
      </c>
      <c r="C27" s="12"/>
      <c r="D27" s="1"/>
      <c r="E27" s="3"/>
      <c r="F27" s="3"/>
      <c r="G27" s="3"/>
      <c r="H27" s="3"/>
      <c r="I27" s="3"/>
      <c r="J27" s="8">
        <f t="shared" si="1"/>
        <v>0</v>
      </c>
      <c r="K27" s="8">
        <f t="shared" si="2"/>
        <v>0</v>
      </c>
      <c r="L27" s="8">
        <f t="shared" si="3"/>
        <v>0</v>
      </c>
      <c r="M27" s="56">
        <f>IF(OR($E$10="",K27="",L27=""),0,K27*係数!$H$30+L27*$E$10)</f>
        <v>0</v>
      </c>
      <c r="N27" s="12"/>
      <c r="O27" s="12"/>
      <c r="P27" s="3"/>
      <c r="Q27" s="3"/>
      <c r="R27" s="3"/>
      <c r="S27" s="3"/>
      <c r="T27" s="3"/>
      <c r="U27" s="8">
        <f t="shared" si="8"/>
        <v>0</v>
      </c>
      <c r="V27" s="8">
        <f t="shared" si="4"/>
        <v>0</v>
      </c>
      <c r="W27" s="8">
        <f t="shared" si="5"/>
        <v>0</v>
      </c>
      <c r="X27" s="56">
        <f>V27*係数!$H$30+W27*係数!$H$25</f>
        <v>0</v>
      </c>
      <c r="Y27" s="8">
        <f t="shared" si="6"/>
        <v>0</v>
      </c>
      <c r="Z27" s="8">
        <f t="shared" si="6"/>
        <v>0</v>
      </c>
      <c r="AA27" s="125">
        <f t="shared" si="7"/>
        <v>0</v>
      </c>
    </row>
    <row r="28" spans="2:27">
      <c r="B28" s="100" t="s">
        <v>145</v>
      </c>
      <c r="C28" s="12"/>
      <c r="D28" s="1"/>
      <c r="E28" s="3"/>
      <c r="F28" s="3"/>
      <c r="G28" s="3"/>
      <c r="H28" s="3"/>
      <c r="I28" s="3"/>
      <c r="J28" s="8">
        <f t="shared" si="1"/>
        <v>0</v>
      </c>
      <c r="K28" s="8">
        <f t="shared" si="2"/>
        <v>0</v>
      </c>
      <c r="L28" s="8">
        <f t="shared" si="3"/>
        <v>0</v>
      </c>
      <c r="M28" s="56">
        <f>IF(OR($E$10="",K28="",L28=""),0,K28*係数!$H$30+L28*$E$10)</f>
        <v>0</v>
      </c>
      <c r="N28" s="12"/>
      <c r="O28" s="12"/>
      <c r="P28" s="3"/>
      <c r="Q28" s="3"/>
      <c r="R28" s="3"/>
      <c r="S28" s="3"/>
      <c r="T28" s="3"/>
      <c r="U28" s="8">
        <f t="shared" si="8"/>
        <v>0</v>
      </c>
      <c r="V28" s="8">
        <f t="shared" si="4"/>
        <v>0</v>
      </c>
      <c r="W28" s="8">
        <f t="shared" si="5"/>
        <v>0</v>
      </c>
      <c r="X28" s="56">
        <f>V28*係数!$H$30+W28*係数!$H$25</f>
        <v>0</v>
      </c>
      <c r="Y28" s="8">
        <f t="shared" si="6"/>
        <v>0</v>
      </c>
      <c r="Z28" s="8">
        <f t="shared" si="6"/>
        <v>0</v>
      </c>
      <c r="AA28" s="125">
        <f t="shared" si="7"/>
        <v>0</v>
      </c>
    </row>
    <row r="29" spans="2:27">
      <c r="B29" s="100" t="s">
        <v>146</v>
      </c>
      <c r="C29" s="12"/>
      <c r="D29" s="1"/>
      <c r="E29" s="3"/>
      <c r="F29" s="3"/>
      <c r="G29" s="3"/>
      <c r="H29" s="3"/>
      <c r="I29" s="3"/>
      <c r="J29" s="8">
        <f t="shared" si="1"/>
        <v>0</v>
      </c>
      <c r="K29" s="8">
        <f t="shared" si="2"/>
        <v>0</v>
      </c>
      <c r="L29" s="8">
        <f t="shared" si="3"/>
        <v>0</v>
      </c>
      <c r="M29" s="56">
        <f>IF(OR($E$10="",K29="",L29=""),0,K29*係数!$H$30+L29*$E$10)</f>
        <v>0</v>
      </c>
      <c r="N29" s="12"/>
      <c r="O29" s="12"/>
      <c r="P29" s="3"/>
      <c r="Q29" s="3"/>
      <c r="R29" s="3"/>
      <c r="S29" s="3"/>
      <c r="T29" s="3"/>
      <c r="U29" s="8">
        <f t="shared" si="8"/>
        <v>0</v>
      </c>
      <c r="V29" s="8">
        <f t="shared" si="4"/>
        <v>0</v>
      </c>
      <c r="W29" s="8">
        <f t="shared" si="5"/>
        <v>0</v>
      </c>
      <c r="X29" s="56">
        <f>V29*係数!$H$30+W29*係数!$H$25</f>
        <v>0</v>
      </c>
      <c r="Y29" s="8">
        <f t="shared" si="6"/>
        <v>0</v>
      </c>
      <c r="Z29" s="8">
        <f t="shared" si="6"/>
        <v>0</v>
      </c>
      <c r="AA29" s="125">
        <f t="shared" si="7"/>
        <v>0</v>
      </c>
    </row>
    <row r="30" spans="2:27">
      <c r="B30" s="100" t="s">
        <v>147</v>
      </c>
      <c r="C30" s="12"/>
      <c r="D30" s="1"/>
      <c r="E30" s="3"/>
      <c r="F30" s="3"/>
      <c r="G30" s="3"/>
      <c r="H30" s="3"/>
      <c r="I30" s="3"/>
      <c r="J30" s="8">
        <f t="shared" si="1"/>
        <v>0</v>
      </c>
      <c r="K30" s="8">
        <f t="shared" si="2"/>
        <v>0</v>
      </c>
      <c r="L30" s="8">
        <f t="shared" si="3"/>
        <v>0</v>
      </c>
      <c r="M30" s="56">
        <f>IF(OR($E$10="",K30="",L30=""),0,K30*係数!$H$30+L30*$E$10)</f>
        <v>0</v>
      </c>
      <c r="N30" s="12"/>
      <c r="O30" s="12"/>
      <c r="P30" s="3"/>
      <c r="Q30" s="3"/>
      <c r="R30" s="3"/>
      <c r="S30" s="3"/>
      <c r="T30" s="3"/>
      <c r="U30" s="8">
        <f t="shared" si="8"/>
        <v>0</v>
      </c>
      <c r="V30" s="8">
        <f t="shared" si="4"/>
        <v>0</v>
      </c>
      <c r="W30" s="8">
        <f t="shared" si="5"/>
        <v>0</v>
      </c>
      <c r="X30" s="56">
        <f>V30*係数!$H$30+W30*係数!$H$25</f>
        <v>0</v>
      </c>
      <c r="Y30" s="8">
        <f t="shared" si="6"/>
        <v>0</v>
      </c>
      <c r="Z30" s="8">
        <f t="shared" si="6"/>
        <v>0</v>
      </c>
      <c r="AA30" s="125">
        <f t="shared" si="7"/>
        <v>0</v>
      </c>
    </row>
    <row r="31" spans="2:27">
      <c r="B31" s="100" t="s">
        <v>148</v>
      </c>
      <c r="C31" s="12"/>
      <c r="D31" s="1"/>
      <c r="E31" s="3"/>
      <c r="F31" s="3"/>
      <c r="G31" s="3"/>
      <c r="H31" s="3"/>
      <c r="I31" s="3"/>
      <c r="J31" s="8">
        <f t="shared" si="1"/>
        <v>0</v>
      </c>
      <c r="K31" s="8">
        <f t="shared" si="2"/>
        <v>0</v>
      </c>
      <c r="L31" s="8">
        <f t="shared" si="3"/>
        <v>0</v>
      </c>
      <c r="M31" s="56">
        <f>IF(OR($E$10="",K31="",L31=""),0,K31*係数!$H$30+L31*$E$10)</f>
        <v>0</v>
      </c>
      <c r="N31" s="12"/>
      <c r="O31" s="12"/>
      <c r="P31" s="3"/>
      <c r="Q31" s="3"/>
      <c r="R31" s="3"/>
      <c r="S31" s="3"/>
      <c r="T31" s="3"/>
      <c r="U31" s="8">
        <f t="shared" si="8"/>
        <v>0</v>
      </c>
      <c r="V31" s="8">
        <f t="shared" si="4"/>
        <v>0</v>
      </c>
      <c r="W31" s="8">
        <f t="shared" si="5"/>
        <v>0</v>
      </c>
      <c r="X31" s="56">
        <f>V31*係数!$H$30+W31*係数!$H$25</f>
        <v>0</v>
      </c>
      <c r="Y31" s="8">
        <f t="shared" si="6"/>
        <v>0</v>
      </c>
      <c r="Z31" s="8">
        <f t="shared" si="6"/>
        <v>0</v>
      </c>
      <c r="AA31" s="125">
        <f t="shared" si="7"/>
        <v>0</v>
      </c>
    </row>
    <row r="32" spans="2:27">
      <c r="B32" s="100" t="s">
        <v>149</v>
      </c>
      <c r="C32" s="12"/>
      <c r="D32" s="1"/>
      <c r="E32" s="3"/>
      <c r="F32" s="3"/>
      <c r="G32" s="3"/>
      <c r="H32" s="3"/>
      <c r="I32" s="3"/>
      <c r="J32" s="8">
        <f t="shared" si="1"/>
        <v>0</v>
      </c>
      <c r="K32" s="8">
        <f t="shared" si="2"/>
        <v>0</v>
      </c>
      <c r="L32" s="8">
        <f t="shared" si="3"/>
        <v>0</v>
      </c>
      <c r="M32" s="56">
        <f>IF(OR($E$10="",K32="",L32=""),0,K32*係数!$H$30+L32*$E$10)</f>
        <v>0</v>
      </c>
      <c r="N32" s="12"/>
      <c r="O32" s="12"/>
      <c r="P32" s="3"/>
      <c r="Q32" s="3"/>
      <c r="R32" s="3"/>
      <c r="S32" s="3"/>
      <c r="T32" s="3"/>
      <c r="U32" s="8">
        <f t="shared" si="8"/>
        <v>0</v>
      </c>
      <c r="V32" s="8">
        <f t="shared" si="4"/>
        <v>0</v>
      </c>
      <c r="W32" s="8">
        <f t="shared" si="5"/>
        <v>0</v>
      </c>
      <c r="X32" s="56">
        <f>V32*係数!$H$30+W32*係数!$H$25</f>
        <v>0</v>
      </c>
      <c r="Y32" s="8">
        <f t="shared" si="6"/>
        <v>0</v>
      </c>
      <c r="Z32" s="8">
        <f t="shared" si="6"/>
        <v>0</v>
      </c>
      <c r="AA32" s="125">
        <f t="shared" si="7"/>
        <v>0</v>
      </c>
    </row>
    <row r="33" spans="2:27">
      <c r="B33" s="100" t="s">
        <v>150</v>
      </c>
      <c r="C33" s="12"/>
      <c r="D33" s="1"/>
      <c r="E33" s="3"/>
      <c r="F33" s="3"/>
      <c r="G33" s="3"/>
      <c r="H33" s="3"/>
      <c r="I33" s="3"/>
      <c r="J33" s="8">
        <f t="shared" si="1"/>
        <v>0</v>
      </c>
      <c r="K33" s="8">
        <f t="shared" si="2"/>
        <v>0</v>
      </c>
      <c r="L33" s="8">
        <f t="shared" si="3"/>
        <v>0</v>
      </c>
      <c r="M33" s="56">
        <f>IF(OR($E$10="",K33="",L33=""),0,K33*係数!$H$30+L33*$E$10)</f>
        <v>0</v>
      </c>
      <c r="N33" s="12"/>
      <c r="O33" s="12"/>
      <c r="P33" s="3"/>
      <c r="Q33" s="3"/>
      <c r="R33" s="3"/>
      <c r="S33" s="3"/>
      <c r="T33" s="3"/>
      <c r="U33" s="8">
        <f t="shared" si="8"/>
        <v>0</v>
      </c>
      <c r="V33" s="8">
        <f t="shared" si="4"/>
        <v>0</v>
      </c>
      <c r="W33" s="8">
        <f t="shared" si="5"/>
        <v>0</v>
      </c>
      <c r="X33" s="56">
        <f>V33*係数!$H$30+W33*係数!$H$25</f>
        <v>0</v>
      </c>
      <c r="Y33" s="8">
        <f t="shared" si="6"/>
        <v>0</v>
      </c>
      <c r="Z33" s="8">
        <f t="shared" si="6"/>
        <v>0</v>
      </c>
      <c r="AA33" s="125">
        <f t="shared" si="7"/>
        <v>0</v>
      </c>
    </row>
    <row r="34" spans="2:27">
      <c r="B34" s="100" t="s">
        <v>154</v>
      </c>
      <c r="C34" s="12"/>
      <c r="D34" s="12"/>
      <c r="E34" s="3"/>
      <c r="F34" s="3"/>
      <c r="G34" s="3"/>
      <c r="H34" s="3"/>
      <c r="I34" s="3"/>
      <c r="J34" s="8">
        <f t="shared" si="1"/>
        <v>0</v>
      </c>
      <c r="K34" s="8">
        <f t="shared" si="2"/>
        <v>0</v>
      </c>
      <c r="L34" s="8">
        <f t="shared" si="3"/>
        <v>0</v>
      </c>
      <c r="M34" s="56">
        <f>IF(OR($E$10="",K34="",L34=""),0,K34*係数!$H$30+L34*$E$10)</f>
        <v>0</v>
      </c>
      <c r="N34" s="12"/>
      <c r="O34" s="12"/>
      <c r="P34" s="3"/>
      <c r="Q34" s="3"/>
      <c r="R34" s="3"/>
      <c r="S34" s="3"/>
      <c r="T34" s="3"/>
      <c r="U34" s="8">
        <f t="shared" si="8"/>
        <v>0</v>
      </c>
      <c r="V34" s="8">
        <f t="shared" si="4"/>
        <v>0</v>
      </c>
      <c r="W34" s="8">
        <f t="shared" si="5"/>
        <v>0</v>
      </c>
      <c r="X34" s="56">
        <f>V34*係数!$H$30+W34*係数!$H$25</f>
        <v>0</v>
      </c>
      <c r="Y34" s="8">
        <f t="shared" si="6"/>
        <v>0</v>
      </c>
      <c r="Z34" s="8">
        <f t="shared" si="6"/>
        <v>0</v>
      </c>
      <c r="AA34" s="125">
        <f t="shared" si="7"/>
        <v>0</v>
      </c>
    </row>
    <row r="35" spans="2:27">
      <c r="B35" s="100" t="s">
        <v>155</v>
      </c>
      <c r="C35" s="12"/>
      <c r="D35" s="12"/>
      <c r="E35" s="3"/>
      <c r="F35" s="3"/>
      <c r="G35" s="3"/>
      <c r="H35" s="3"/>
      <c r="I35" s="3"/>
      <c r="J35" s="8">
        <f t="shared" si="1"/>
        <v>0</v>
      </c>
      <c r="K35" s="8">
        <f t="shared" si="2"/>
        <v>0</v>
      </c>
      <c r="L35" s="8">
        <f t="shared" si="3"/>
        <v>0</v>
      </c>
      <c r="M35" s="56">
        <f>IF(OR($E$10="",K35="",L35=""),0,K35*係数!$H$30+L35*$E$10)</f>
        <v>0</v>
      </c>
      <c r="N35" s="12"/>
      <c r="O35" s="12"/>
      <c r="P35" s="3"/>
      <c r="Q35" s="3"/>
      <c r="R35" s="3"/>
      <c r="S35" s="3"/>
      <c r="T35" s="3"/>
      <c r="U35" s="8">
        <f t="shared" si="8"/>
        <v>0</v>
      </c>
      <c r="V35" s="8">
        <f t="shared" si="4"/>
        <v>0</v>
      </c>
      <c r="W35" s="8">
        <f t="shared" si="5"/>
        <v>0</v>
      </c>
      <c r="X35" s="56">
        <f>V35*係数!$H$30+W35*係数!$H$25</f>
        <v>0</v>
      </c>
      <c r="Y35" s="8">
        <f t="shared" si="6"/>
        <v>0</v>
      </c>
      <c r="Z35" s="8">
        <f t="shared" si="6"/>
        <v>0</v>
      </c>
      <c r="AA35" s="125">
        <f t="shared" si="7"/>
        <v>0</v>
      </c>
    </row>
    <row r="36" spans="2:27">
      <c r="B36" s="100" t="s">
        <v>156</v>
      </c>
      <c r="C36" s="12"/>
      <c r="D36" s="12"/>
      <c r="E36" s="3"/>
      <c r="F36" s="3"/>
      <c r="G36" s="3"/>
      <c r="H36" s="3"/>
      <c r="I36" s="3"/>
      <c r="J36" s="8">
        <f t="shared" si="1"/>
        <v>0</v>
      </c>
      <c r="K36" s="8">
        <f t="shared" si="2"/>
        <v>0</v>
      </c>
      <c r="L36" s="8">
        <f t="shared" si="3"/>
        <v>0</v>
      </c>
      <c r="M36" s="56">
        <f>IF(OR($E$10="",K36="",L36=""),0,K36*係数!$H$30+L36*$E$10)</f>
        <v>0</v>
      </c>
      <c r="N36" s="12"/>
      <c r="O36" s="12"/>
      <c r="P36" s="3"/>
      <c r="Q36" s="3"/>
      <c r="R36" s="3"/>
      <c r="S36" s="3"/>
      <c r="T36" s="3"/>
      <c r="U36" s="8">
        <f t="shared" si="8"/>
        <v>0</v>
      </c>
      <c r="V36" s="8">
        <f t="shared" si="4"/>
        <v>0</v>
      </c>
      <c r="W36" s="8">
        <f t="shared" si="5"/>
        <v>0</v>
      </c>
      <c r="X36" s="56">
        <f>V36*係数!$H$30+W36*係数!$H$25</f>
        <v>0</v>
      </c>
      <c r="Y36" s="8">
        <f t="shared" si="6"/>
        <v>0</v>
      </c>
      <c r="Z36" s="8">
        <f t="shared" si="6"/>
        <v>0</v>
      </c>
      <c r="AA36" s="125">
        <f t="shared" si="7"/>
        <v>0</v>
      </c>
    </row>
    <row r="37" spans="2:27">
      <c r="B37" s="100" t="s">
        <v>157</v>
      </c>
      <c r="C37" s="12"/>
      <c r="D37" s="12"/>
      <c r="E37" s="3"/>
      <c r="F37" s="3"/>
      <c r="G37" s="3"/>
      <c r="H37" s="3"/>
      <c r="I37" s="3"/>
      <c r="J37" s="8">
        <f t="shared" si="1"/>
        <v>0</v>
      </c>
      <c r="K37" s="8">
        <f t="shared" si="2"/>
        <v>0</v>
      </c>
      <c r="L37" s="8">
        <f t="shared" si="3"/>
        <v>0</v>
      </c>
      <c r="M37" s="56">
        <f>IF(OR($E$10="",K37="",L37=""),0,K37*係数!$H$30+L37*$E$10)</f>
        <v>0</v>
      </c>
      <c r="N37" s="12"/>
      <c r="O37" s="12"/>
      <c r="P37" s="3"/>
      <c r="Q37" s="3"/>
      <c r="R37" s="3"/>
      <c r="S37" s="3"/>
      <c r="T37" s="3"/>
      <c r="U37" s="8">
        <f t="shared" si="8"/>
        <v>0</v>
      </c>
      <c r="V37" s="8">
        <f t="shared" si="4"/>
        <v>0</v>
      </c>
      <c r="W37" s="8">
        <f t="shared" si="5"/>
        <v>0</v>
      </c>
      <c r="X37" s="56">
        <f>V37*係数!$H$30+W37*係数!$H$25</f>
        <v>0</v>
      </c>
      <c r="Y37" s="8">
        <f t="shared" si="6"/>
        <v>0</v>
      </c>
      <c r="Z37" s="8">
        <f t="shared" si="6"/>
        <v>0</v>
      </c>
      <c r="AA37" s="125">
        <f t="shared" si="7"/>
        <v>0</v>
      </c>
    </row>
    <row r="38" spans="2:27">
      <c r="B38" s="100" t="s">
        <v>158</v>
      </c>
      <c r="C38" s="12"/>
      <c r="D38" s="12"/>
      <c r="E38" s="3"/>
      <c r="F38" s="3"/>
      <c r="G38" s="3"/>
      <c r="H38" s="3"/>
      <c r="I38" s="3"/>
      <c r="J38" s="8">
        <f t="shared" si="1"/>
        <v>0</v>
      </c>
      <c r="K38" s="8">
        <f t="shared" si="2"/>
        <v>0</v>
      </c>
      <c r="L38" s="8">
        <f t="shared" si="3"/>
        <v>0</v>
      </c>
      <c r="M38" s="56">
        <f>IF(OR($E$10="",K38="",L38=""),0,K38*係数!$H$30+L38*$E$10)</f>
        <v>0</v>
      </c>
      <c r="N38" s="12"/>
      <c r="O38" s="12"/>
      <c r="P38" s="3"/>
      <c r="Q38" s="3"/>
      <c r="R38" s="3"/>
      <c r="S38" s="3"/>
      <c r="T38" s="3"/>
      <c r="U38" s="8">
        <f t="shared" si="8"/>
        <v>0</v>
      </c>
      <c r="V38" s="8">
        <f t="shared" si="4"/>
        <v>0</v>
      </c>
      <c r="W38" s="8">
        <f t="shared" si="5"/>
        <v>0</v>
      </c>
      <c r="X38" s="56">
        <f>V38*係数!$H$30+W38*係数!$H$25</f>
        <v>0</v>
      </c>
      <c r="Y38" s="8">
        <f t="shared" si="6"/>
        <v>0</v>
      </c>
      <c r="Z38" s="8">
        <f t="shared" si="6"/>
        <v>0</v>
      </c>
      <c r="AA38" s="125">
        <f t="shared" si="7"/>
        <v>0</v>
      </c>
    </row>
  </sheetData>
  <sheetProtection formatCells="0" formatColumns="0" formatRows="0"/>
  <mergeCells count="8">
    <mergeCell ref="D6:E6"/>
    <mergeCell ref="D7:E7"/>
    <mergeCell ref="D8:E8"/>
    <mergeCell ref="M3:U3"/>
    <mergeCell ref="M4:U4"/>
    <mergeCell ref="D3:E3"/>
    <mergeCell ref="D4:E4"/>
    <mergeCell ref="D5:E5"/>
  </mergeCells>
  <phoneticPr fontId="6"/>
  <conditionalFormatting sqref="G4:J7 D10 C19:C38 E19:N38 P19:AA38">
    <cfRule type="expression" dxfId="11" priority="9">
      <formula>$D$1="なし"</formula>
    </cfRule>
  </conditionalFormatting>
  <conditionalFormatting sqref="J8">
    <cfRule type="expression" dxfId="10" priority="8">
      <formula>$E$1="なし"</formula>
    </cfRule>
  </conditionalFormatting>
  <conditionalFormatting sqref="G8">
    <cfRule type="expression" dxfId="9" priority="7">
      <formula>$E$1="なし"</formula>
    </cfRule>
  </conditionalFormatting>
  <conditionalFormatting sqref="H8">
    <cfRule type="expression" dxfId="8" priority="6">
      <formula>$E$1="なし"</formula>
    </cfRule>
  </conditionalFormatting>
  <conditionalFormatting sqref="D34:D38">
    <cfRule type="expression" dxfId="7" priority="5">
      <formula>$D$1="なし"</formula>
    </cfRule>
  </conditionalFormatting>
  <conditionalFormatting sqref="D19:D33">
    <cfRule type="expression" dxfId="6" priority="4">
      <formula>$D$1="なし"</formula>
    </cfRule>
  </conditionalFormatting>
  <conditionalFormatting sqref="O22:O38">
    <cfRule type="expression" dxfId="5" priority="3">
      <formula>$D$1="なし"</formula>
    </cfRule>
  </conditionalFormatting>
  <conditionalFormatting sqref="O19:O21">
    <cfRule type="expression" dxfId="4" priority="2">
      <formula>$D$1="なし"</formula>
    </cfRule>
  </conditionalFormatting>
  <conditionalFormatting sqref="R17">
    <cfRule type="expression" dxfId="3" priority="1">
      <formula>$D$1="なし"</formula>
    </cfRule>
  </conditionalFormatting>
  <dataValidations count="1">
    <dataValidation type="whole" allowBlank="1" showInputMessage="1" showErrorMessage="1" sqref="R19:R38 R17">
      <formula1>0</formula1>
      <formula2>G17</formula2>
    </dataValidation>
  </dataValidations>
  <pageMargins left="0.70866141732283472" right="0.70866141732283472" top="0.74803149606299213" bottom="0.74803149606299213" header="0.31496062992125984" footer="0.31496062992125984"/>
  <pageSetup paperSize="9" scale="42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係数!$B$3:$B$30</xm:f>
          </x14:formula1>
          <xm:sqref>D10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55" zoomScaleNormal="40" zoomScaleSheetLayoutView="55" workbookViewId="0">
      <selection activeCell="AM31" sqref="AM31"/>
    </sheetView>
  </sheetViews>
  <sheetFormatPr defaultRowHeight="18"/>
  <sheetData/>
  <sheetProtection algorithmName="SHA-512" hashValue="2ZaA/LG0jicmR/A4Zj1posOWyPA0fZ0h1/572w/o7ovpyeSHgFyw5IqWiAHj3J4eN73bSkRSOCpa+x4EZ07kjw==" saltValue="GbzkL5o/IvGuVZZEaEf8NA==" spinCount="100000" sheet="1" objects="1" scenarios="1"/>
  <phoneticPr fontId="6"/>
  <pageMargins left="0.7" right="0.7" top="0.75" bottom="0.75" header="0.3" footer="0.3"/>
  <pageSetup paperSize="9" scale="27" fitToHeight="0" orientation="landscape" r:id="rId1"/>
  <rowBreaks count="4" manualBreakCount="4">
    <brk id="40" max="16383" man="1"/>
    <brk id="83" max="16383" man="1"/>
    <brk id="129" max="16383" man="1"/>
    <brk id="158" max="4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エネルギー使用量</vt:lpstr>
      <vt:lpstr>照明</vt:lpstr>
      <vt:lpstr>空調</vt:lpstr>
      <vt:lpstr>空調負荷率</vt:lpstr>
      <vt:lpstr>ボイラー・給湯器</vt:lpstr>
      <vt:lpstr>コンプレッサー</vt:lpstr>
      <vt:lpstr>変圧器</vt:lpstr>
      <vt:lpstr>その他</vt:lpstr>
      <vt:lpstr>印刷用_記入例</vt:lpstr>
      <vt:lpstr>係数</vt:lpstr>
      <vt:lpstr>モーター効率</vt:lpstr>
      <vt:lpstr>空調kcal換算</vt:lpstr>
      <vt:lpstr>出典資料</vt:lpstr>
      <vt:lpstr>更新・修正記録</vt:lpstr>
      <vt:lpstr>エネルギー使用量!Print_Area</vt:lpstr>
      <vt:lpstr>コンプレッサー!Print_Area</vt:lpstr>
      <vt:lpstr>その他!Print_Area</vt:lpstr>
      <vt:lpstr>ボイラー・給湯器!Print_Area</vt:lpstr>
      <vt:lpstr>印刷用_記入例!Print_Area</vt:lpstr>
      <vt:lpstr>空調!Print_Area</vt:lpstr>
      <vt:lpstr>照明!Print_Area</vt:lpstr>
      <vt:lpstr>変圧器!Print_Area</vt:lpstr>
      <vt:lpstr>空調!Print_Titles</vt:lpstr>
      <vt:lpstr>照明!Print_Titles</vt:lpstr>
      <vt:lpstr>rangeIE1</vt:lpstr>
      <vt:lpstr>rangeIE2</vt:lpstr>
      <vt:lpstr>rangeIE3</vt:lpstr>
      <vt:lpstr>rangeIE4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egashira</dc:creator>
  <cp:lastModifiedBy>takakusa</cp:lastModifiedBy>
  <cp:lastPrinted>2025-05-23T09:30:08Z</cp:lastPrinted>
  <dcterms:created xsi:type="dcterms:W3CDTF">2023-04-27T05:58:44Z</dcterms:created>
  <dcterms:modified xsi:type="dcterms:W3CDTF">2025-06-20T08:44:09Z</dcterms:modified>
</cp:coreProperties>
</file>